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4120" windowHeight="13140" tabRatio="680"/>
  </bookViews>
  <sheets>
    <sheet name="Introduction" sheetId="1" r:id="rId1"/>
    <sheet name="Base Capacity" sheetId="2" r:id="rId2"/>
    <sheet name="Disk Capacity" sheetId="7" r:id="rId3"/>
    <sheet name="Backup Capacity" sheetId="9" r:id="rId4"/>
    <sheet name="EPCS Credentialing Roles" sheetId="5" r:id="rId5"/>
    <sheet name="Cryptographic Tokens" sheetId="6" r:id="rId6"/>
    <sheet name="Workstation Capacity" sheetId="10" r:id="rId7"/>
    <sheet name="Threshold Monitoring" sheetId="11" r:id="rId8"/>
  </sheets>
  <definedNames>
    <definedName name="_xlnm.Print_Area" localSheetId="3">'Backup Capacity'!$A$1:$F$61</definedName>
    <definedName name="_xlnm.Print_Area" localSheetId="1">'Base Capacity'!$A$1:$H$42</definedName>
    <definedName name="_xlnm.Print_Area" localSheetId="5">'Cryptographic Tokens'!$A$1:$E$28</definedName>
    <definedName name="_xlnm.Print_Area" localSheetId="2">'Disk Capacity'!$A$1:$F$58</definedName>
    <definedName name="_xlnm.Print_Area" localSheetId="4">'EPCS Credentialing Roles'!$A$1:$E$23</definedName>
    <definedName name="_xlnm.Print_Area" localSheetId="0">Introduction!$A$1:$A$27</definedName>
    <definedName name="_xlnm.Print_Area" localSheetId="7">'Threshold Monitoring'!$A$1:$G$81</definedName>
    <definedName name="_xlnm.Print_Area" localSheetId="6">'Workstation Capacity'!$A$1:$F$35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8" i="9" l="1"/>
  <c r="E17" i="9"/>
  <c r="E16" i="9"/>
  <c r="E15" i="9"/>
  <c r="E14" i="9"/>
  <c r="E24" i="9"/>
  <c r="E23" i="9"/>
  <c r="E22" i="9"/>
  <c r="E21" i="9"/>
  <c r="E20" i="9"/>
  <c r="E31" i="9"/>
  <c r="E30" i="9"/>
  <c r="E29" i="9"/>
  <c r="E28" i="9"/>
  <c r="E27" i="9"/>
  <c r="E37" i="9"/>
  <c r="E36" i="9"/>
  <c r="E35" i="9"/>
  <c r="E34" i="9"/>
  <c r="E33" i="9"/>
  <c r="E44" i="9"/>
  <c r="E43" i="9"/>
  <c r="E42" i="9"/>
  <c r="E41" i="9"/>
  <c r="E40" i="9"/>
  <c r="E50" i="9"/>
  <c r="E49" i="9"/>
  <c r="E48" i="9"/>
  <c r="E47" i="9"/>
  <c r="E46" i="9"/>
  <c r="E57" i="9"/>
  <c r="E56" i="9"/>
  <c r="E55" i="9"/>
  <c r="E54" i="9"/>
  <c r="E53" i="9"/>
  <c r="D15" i="5" l="1"/>
  <c r="D8" i="5"/>
  <c r="D15" i="2" l="1"/>
  <c r="D29" i="2" l="1"/>
  <c r="D24" i="2" l="1"/>
  <c r="D33" i="7" l="1"/>
  <c r="D42" i="7"/>
  <c r="D9" i="7"/>
  <c r="D13" i="7" s="1"/>
  <c r="D10" i="2"/>
  <c r="D11" i="5" l="1"/>
  <c r="D10" i="5"/>
  <c r="D9" i="5"/>
  <c r="D12" i="5"/>
  <c r="D19" i="5"/>
  <c r="D17" i="5"/>
  <c r="D18" i="5"/>
  <c r="D16" i="5"/>
  <c r="D45" i="7"/>
  <c r="E34" i="11"/>
  <c r="E33" i="11"/>
  <c r="E32" i="11"/>
  <c r="E31" i="11"/>
  <c r="E30" i="11"/>
  <c r="E28" i="11"/>
  <c r="E27" i="11"/>
  <c r="E26" i="11"/>
  <c r="E25" i="11"/>
  <c r="E24" i="11"/>
  <c r="E18" i="11"/>
  <c r="E17" i="11"/>
  <c r="E16" i="11"/>
  <c r="E15" i="11"/>
  <c r="E14" i="11"/>
  <c r="E12" i="11"/>
  <c r="E11" i="11"/>
  <c r="E10" i="11"/>
  <c r="E9" i="11"/>
  <c r="E8" i="11"/>
  <c r="E42" i="7"/>
  <c r="E33" i="7"/>
  <c r="D23" i="7"/>
  <c r="D22" i="7"/>
  <c r="D21" i="7"/>
  <c r="D20" i="7"/>
  <c r="D19" i="7"/>
  <c r="E54" i="7"/>
  <c r="E53" i="7"/>
  <c r="E52" i="7"/>
  <c r="E51" i="7"/>
  <c r="E50" i="7"/>
  <c r="E47" i="7"/>
  <c r="E46" i="7"/>
  <c r="E45" i="7"/>
  <c r="E44" i="7"/>
  <c r="E43" i="7"/>
  <c r="E38" i="7"/>
  <c r="E37" i="7"/>
  <c r="E36" i="7"/>
  <c r="E35" i="7"/>
  <c r="E34" i="7"/>
  <c r="E29" i="7"/>
  <c r="E28" i="7"/>
  <c r="E27" i="7"/>
  <c r="E26" i="7"/>
  <c r="E25" i="7"/>
  <c r="E23" i="7"/>
  <c r="E22" i="7"/>
  <c r="E21" i="7"/>
  <c r="E20" i="7"/>
  <c r="E19" i="7"/>
  <c r="E17" i="7"/>
  <c r="E16" i="7"/>
  <c r="E15" i="7"/>
  <c r="E14" i="7"/>
  <c r="E13" i="7"/>
  <c r="E9" i="7"/>
  <c r="E38" i="2"/>
  <c r="E37" i="2"/>
  <c r="D59" i="11"/>
  <c r="D28" i="10" l="1"/>
  <c r="D31" i="10" s="1"/>
  <c r="D75" i="11" s="1"/>
  <c r="F75" i="11" s="1"/>
  <c r="D27" i="10"/>
  <c r="D30" i="10" s="1"/>
  <c r="D69" i="11" s="1"/>
  <c r="F69" i="11" s="1"/>
  <c r="D14" i="10"/>
  <c r="D17" i="10" s="1"/>
  <c r="D13" i="10"/>
  <c r="D16" i="10" s="1"/>
  <c r="E34" i="2"/>
  <c r="E33" i="2"/>
  <c r="D21" i="6" l="1"/>
  <c r="D60" i="11" s="1"/>
  <c r="D11" i="6"/>
  <c r="D23" i="6" s="1"/>
  <c r="D10" i="6"/>
  <c r="D24" i="6" s="1"/>
  <c r="D7" i="6"/>
  <c r="D46" i="11"/>
  <c r="F46" i="11" s="1"/>
  <c r="D40" i="11"/>
  <c r="F40" i="11" s="1"/>
  <c r="D54" i="11" l="1"/>
  <c r="D57" i="11"/>
  <c r="D56" i="11"/>
  <c r="D55" i="11"/>
  <c r="D22" i="6"/>
  <c r="D61" i="11" s="1"/>
  <c r="D63" i="11"/>
  <c r="D62" i="11"/>
  <c r="D15" i="6"/>
  <c r="D16" i="6" s="1"/>
  <c r="D53" i="11" s="1"/>
  <c r="D25" i="7" l="1"/>
  <c r="D14" i="7"/>
  <c r="D44" i="7"/>
  <c r="D17" i="7"/>
  <c r="D47" i="7"/>
  <c r="D43" i="7"/>
  <c r="D16" i="7"/>
  <c r="D46" i="7"/>
  <c r="D38" i="7"/>
  <c r="D15" i="7"/>
  <c r="D34" i="7"/>
  <c r="D37" i="7"/>
  <c r="D35" i="7"/>
  <c r="D36" i="7"/>
  <c r="D79" i="11"/>
  <c r="F79" i="11" s="1"/>
  <c r="D78" i="11"/>
  <c r="F78" i="11" s="1"/>
  <c r="D72" i="11"/>
  <c r="F72" i="11" s="1"/>
  <c r="D71" i="11"/>
  <c r="F71" i="11" s="1"/>
  <c r="D76" i="11"/>
  <c r="F76" i="11" s="1"/>
  <c r="D73" i="11"/>
  <c r="F73" i="11" s="1"/>
  <c r="D77" i="11"/>
  <c r="F77" i="11" s="1"/>
  <c r="D70" i="11"/>
  <c r="F70" i="11" s="1"/>
  <c r="D47" i="11"/>
  <c r="F47" i="11" s="1"/>
  <c r="D42" i="11"/>
  <c r="F42" i="11" s="1"/>
  <c r="D50" i="11"/>
  <c r="F50" i="11" s="1"/>
  <c r="D41" i="11"/>
  <c r="F41" i="11" s="1"/>
  <c r="D49" i="11"/>
  <c r="F49" i="11" s="1"/>
  <c r="D44" i="11"/>
  <c r="F44" i="11" s="1"/>
  <c r="D48" i="11"/>
  <c r="F48" i="11" s="1"/>
  <c r="D43" i="11"/>
  <c r="F43" i="11" s="1"/>
  <c r="D14" i="9" l="1"/>
  <c r="D27" i="9"/>
  <c r="D40" i="9"/>
  <c r="D50" i="7"/>
  <c r="D8" i="11" s="1"/>
  <c r="D29" i="7"/>
  <c r="D18" i="9" s="1"/>
  <c r="D27" i="7"/>
  <c r="D16" i="9" s="1"/>
  <c r="D28" i="7"/>
  <c r="D17" i="9" s="1"/>
  <c r="D26" i="7"/>
  <c r="D15" i="9" s="1"/>
  <c r="D28" i="9" l="1"/>
  <c r="D34" i="9" s="1"/>
  <c r="D41" i="9"/>
  <c r="D47" i="9" s="1"/>
  <c r="D44" i="9"/>
  <c r="D50" i="9" s="1"/>
  <c r="D24" i="9"/>
  <c r="D31" i="9"/>
  <c r="D37" i="9" s="1"/>
  <c r="D23" i="9"/>
  <c r="D43" i="9"/>
  <c r="D49" i="9" s="1"/>
  <c r="D30" i="9"/>
  <c r="D36" i="9" s="1"/>
  <c r="D29" i="9"/>
  <c r="D35" i="9" s="1"/>
  <c r="D22" i="9"/>
  <c r="D42" i="9"/>
  <c r="D48" i="9" s="1"/>
  <c r="D14" i="11"/>
  <c r="F14" i="11" s="1"/>
  <c r="D33" i="9"/>
  <c r="D53" i="7"/>
  <c r="D11" i="11" s="1"/>
  <c r="D52" i="7"/>
  <c r="D10" i="11" s="1"/>
  <c r="D54" i="7"/>
  <c r="D12" i="11" s="1"/>
  <c r="D51" i="7"/>
  <c r="D9" i="11" s="1"/>
  <c r="D21" i="9"/>
  <c r="D46" i="9"/>
  <c r="D20" i="9"/>
  <c r="D15" i="11" l="1"/>
  <c r="F15" i="11" s="1"/>
  <c r="D53" i="9"/>
  <c r="D24" i="11" s="1"/>
  <c r="D57" i="9"/>
  <c r="D28" i="11" s="1"/>
  <c r="D55" i="9"/>
  <c r="D26" i="11" s="1"/>
  <c r="D54" i="9"/>
  <c r="D25" i="11" s="1"/>
  <c r="D56" i="9"/>
  <c r="D27" i="11" s="1"/>
  <c r="D16" i="11" l="1"/>
  <c r="F16" i="11" s="1"/>
  <c r="D30" i="11"/>
  <c r="F30" i="11" s="1"/>
  <c r="D31" i="11"/>
  <c r="F31" i="11" s="1"/>
  <c r="D17" i="11" l="1"/>
  <c r="D18" i="11" s="1"/>
  <c r="F18" i="11" s="1"/>
  <c r="F17" i="11"/>
  <c r="D32" i="11" l="1"/>
  <c r="F32" i="11" s="1"/>
  <c r="D34" i="11"/>
  <c r="F34" i="11" s="1"/>
  <c r="D33" i="11"/>
  <c r="F33" i="11" s="1"/>
</calcChain>
</file>

<file path=xl/sharedStrings.xml><?xml version="1.0" encoding="utf-8"?>
<sst xmlns="http://schemas.openxmlformats.org/spreadsheetml/2006/main" count="338" uniqueCount="290">
  <si>
    <t>Value</t>
  </si>
  <si>
    <t>Item</t>
  </si>
  <si>
    <t>EPCS Capable Providers</t>
  </si>
  <si>
    <t>Net Annual Increase in Number of EPCS Capable Providers:</t>
  </si>
  <si>
    <t>Number of days per week site is open:</t>
  </si>
  <si>
    <t>Server Disk Space</t>
  </si>
  <si>
    <t>Comments</t>
  </si>
  <si>
    <t>Average daily growth of disk space used:</t>
  </si>
  <si>
    <t>Backup Space</t>
  </si>
  <si>
    <t>Average Backup Compression Ratio:</t>
  </si>
  <si>
    <t>Internal Outpatient Pharmacy</t>
  </si>
  <si>
    <t>EPCS Capable Pharmacists</t>
  </si>
  <si>
    <t>Net Annual Increase in Number of EPCS Capable Pharmacists:</t>
  </si>
  <si>
    <t>Number of days per week Pharmacy is open:</t>
  </si>
  <si>
    <t>Provider Profile Admin</t>
  </si>
  <si>
    <t>Year 2 Provider Profile Admin Ratio</t>
  </si>
  <si>
    <t>Year 3 Provider Profile Admin Ratio</t>
  </si>
  <si>
    <t>Year 4 Provider Profile Admin Ratio</t>
  </si>
  <si>
    <t>Year 2 Provider Access Admin Ratio</t>
  </si>
  <si>
    <t>Year 3 Provider Access Admin Ratio</t>
  </si>
  <si>
    <t>Year 4 Provider Access Admin Ratio</t>
  </si>
  <si>
    <t>Year 5 Provider Access Admin Ratio</t>
  </si>
  <si>
    <t>Provider Access Admin Tokens</t>
  </si>
  <si>
    <t>The same cryptographic token may be used for both purposes.</t>
  </si>
  <si>
    <t>Number of Provider Access Admins that are also EPCS enabled providers:</t>
  </si>
  <si>
    <t>Provider Tokens</t>
  </si>
  <si>
    <t>Number of Provider Tokens Required:</t>
  </si>
  <si>
    <t>Number of Provider Access Admin Tokens Required:</t>
  </si>
  <si>
    <t>Unlike the use of turnover to estimate the number of controlled substance medication orders, each EPCS enabled provider will need to obtain a cryptographic token. Cryptographic tokens cannot be reassigned.</t>
  </si>
  <si>
    <t>Replacement Tokens</t>
  </si>
  <si>
    <t>The calculated or manual value that will be used in further calculations.</t>
  </si>
  <si>
    <t>Token Renewals</t>
  </si>
  <si>
    <t>Token Renewals Year 1</t>
  </si>
  <si>
    <t>Initial acquisition.  No renewals.</t>
  </si>
  <si>
    <t>Token Renewals Year 2</t>
  </si>
  <si>
    <t>Token Renewals Year 3</t>
  </si>
  <si>
    <t>Token Renewals Year 4</t>
  </si>
  <si>
    <t>Token Renewals Year 5</t>
  </si>
  <si>
    <t>Cryptographic Tokens</t>
  </si>
  <si>
    <t>Disk Capacity</t>
  </si>
  <si>
    <t>Size of EPCS Audit Record</t>
  </si>
  <si>
    <t>Convert Size to units selected by site.</t>
  </si>
  <si>
    <t>GB</t>
  </si>
  <si>
    <t>KB</t>
  </si>
  <si>
    <t>Size in Site selected Units</t>
  </si>
  <si>
    <t>Average Number EPCS Audit Records Generated per Medication Order:</t>
  </si>
  <si>
    <t>Year 1 EPCS Order Audit Space</t>
  </si>
  <si>
    <t>Year 2 EPCS Order Audit Space</t>
  </si>
  <si>
    <t>Year 3 EPCS Order Audit Space</t>
  </si>
  <si>
    <t>Year 4 EPCS Order Audit Space</t>
  </si>
  <si>
    <t>Year 5 EPCS Order Audit Space</t>
  </si>
  <si>
    <t>Year 1 EPCS Prescription Audit Space</t>
  </si>
  <si>
    <t>Year 2 EPCS Prescription Audit Space</t>
  </si>
  <si>
    <t>Year 3 EPCS Prescription Audit Space</t>
  </si>
  <si>
    <t>Year 4 EPCS Prescription Audit Space</t>
  </si>
  <si>
    <t>Year 5 EPCS Prescription Audit Space</t>
  </si>
  <si>
    <t>Year 1 EPCS Audit Space</t>
  </si>
  <si>
    <t>Year 2 EPCS Audit Space</t>
  </si>
  <si>
    <t>Year 3 EPCS Audit Space</t>
  </si>
  <si>
    <t>Year 4 EPCS Audit Space</t>
  </si>
  <si>
    <t>Year 5 EPCS Audit Space</t>
  </si>
  <si>
    <t>Size of DEA ORDER ARCHIVE INFO  Record</t>
  </si>
  <si>
    <t>Year 1 EPCS Order Archive Space</t>
  </si>
  <si>
    <t>Year 2 EPCS Order Archive Space</t>
  </si>
  <si>
    <t>Year 3 EPCS Order Archive Space</t>
  </si>
  <si>
    <t>Year 4 EPCS Order Archive Space</t>
  </si>
  <si>
    <t>Year 5 EPCS Order Archive Space</t>
  </si>
  <si>
    <t>Year 1 EPCS PKI Space</t>
  </si>
  <si>
    <t>Year 2 EPCS PKI Space</t>
  </si>
  <si>
    <t>Year 3 EPCS PKI Space</t>
  </si>
  <si>
    <t>Year 4 EPCS PKI Space</t>
  </si>
  <si>
    <t>Year 5 EPCS PKI Space</t>
  </si>
  <si>
    <t>Size of PKI Digital Signatures Record</t>
  </si>
  <si>
    <t>Average Number EPCS Audit Records Generated per Prescription:</t>
  </si>
  <si>
    <t>Year 1 Disk Space</t>
  </si>
  <si>
    <t>Year 2 Disk Space</t>
  </si>
  <si>
    <t>Year 3 Disk Space</t>
  </si>
  <si>
    <t>Year 4 Disk Space</t>
  </si>
  <si>
    <t>Year 5 Disk Space</t>
  </si>
  <si>
    <t>Backup Capacity</t>
  </si>
  <si>
    <t>Backup Cycle</t>
  </si>
  <si>
    <t>Days</t>
  </si>
  <si>
    <t>Year 1 Full Backup Space</t>
  </si>
  <si>
    <t>Year 2 Full Backup Space</t>
  </si>
  <si>
    <t>Year 3 Full Backup Space</t>
  </si>
  <si>
    <t>Year 4 Full Backup Space</t>
  </si>
  <si>
    <t>Year 5 Full backup Space</t>
  </si>
  <si>
    <t>Backup Growth - Full Backups</t>
  </si>
  <si>
    <t>Year 1 Incremental Backup Space</t>
  </si>
  <si>
    <t>Year 2 Incremental Backup Space</t>
  </si>
  <si>
    <t>Year 3 Incremental Backup Space</t>
  </si>
  <si>
    <t>Year 4 Incremental Backup Space</t>
  </si>
  <si>
    <t>Year 5 Incremental backup Space</t>
  </si>
  <si>
    <t>Backup Growth - Incremental Backups</t>
  </si>
  <si>
    <t>Backup Growth - Differential Backups</t>
  </si>
  <si>
    <t>Workstation Capacity</t>
  </si>
  <si>
    <t>Provider Access Admin</t>
  </si>
  <si>
    <t>Number USB Enabled Workstations Accessible to Provider Access Admin Role:</t>
  </si>
  <si>
    <t>Number Smart Card Enabled Workstations Accessible to Provider Access Admin Role:</t>
  </si>
  <si>
    <t>Number USB Enabled Remote Desktops Accessible to Provider Access Admin Role:</t>
  </si>
  <si>
    <t>Number USB Enabled Thin Clients Accessible to Provider Access Admin Role:</t>
  </si>
  <si>
    <t>Number Smart Card Enabled Remote Desktops Accessible to Provider Access Admin Role:</t>
  </si>
  <si>
    <t>Number Smart Card Enabled Thin Clients Accessible to Provider Access Admin Role:</t>
  </si>
  <si>
    <t>Total Provider Access Admin USB:</t>
  </si>
  <si>
    <t>Total Provider Access Admin Smart Card:</t>
  </si>
  <si>
    <t>Providers</t>
  </si>
  <si>
    <t>Number USB Enabled Workstations Accessible to Provider Role:</t>
  </si>
  <si>
    <t>Number Smart Card Enabled Workstations Accessible to Provider Role:</t>
  </si>
  <si>
    <t>Number USB Enabled Remote Desktops Accessible to Provider Role:</t>
  </si>
  <si>
    <t>Number Smart Card Enabled Remote Desktops Accessible to Provider Role:</t>
  </si>
  <si>
    <t>Number USB Enabled Thin Clients Accessible to Provider Role:</t>
  </si>
  <si>
    <t>Number Smart Card Enabled Thin Clients Accessible to Provider Role:</t>
  </si>
  <si>
    <t>Provider USB Ratio:</t>
  </si>
  <si>
    <t>Provider Smart Card Ratio:</t>
  </si>
  <si>
    <t>Threshold Monitoring</t>
  </si>
  <si>
    <t>Site's Desired Provider Profile Admin Ratio:</t>
  </si>
  <si>
    <t>Site's Desired Provider Access Admin Ratio:</t>
  </si>
  <si>
    <t>Provider Profile Admin Ratio</t>
  </si>
  <si>
    <t>Provider Access Admin Ratio</t>
  </si>
  <si>
    <t>A common industry ratio is 1 support staff per 250 users.  (.004)</t>
  </si>
  <si>
    <t>This does not cover PIV, which is handled through separate processes.</t>
  </si>
  <si>
    <t>Site's Threshold to Add Disk Space</t>
  </si>
  <si>
    <t>A site should consider adding disk capacity when 85% to 90% of disk capacity has been consumed. (.85 or .90)</t>
  </si>
  <si>
    <t>Year 1 Disk Consumption</t>
  </si>
  <si>
    <t>Year 2 Disk Consumption</t>
  </si>
  <si>
    <t>Year 3 Disk Consumption</t>
  </si>
  <si>
    <t>Year 4 Disk Consumption</t>
  </si>
  <si>
    <t>Year 5 Disk Consumption</t>
  </si>
  <si>
    <t>Total Disk Space Available:</t>
  </si>
  <si>
    <t>Year 1 Available Disk Capacity</t>
  </si>
  <si>
    <t>Year 2 Available Disk Capacity</t>
  </si>
  <si>
    <t>Year 3 Available Disk Capacity</t>
  </si>
  <si>
    <t>Year 4 Available Disk Capacity</t>
  </si>
  <si>
    <t>Year 5 Available Disk Capacity</t>
  </si>
  <si>
    <t>Year 1 Backup Consumption</t>
  </si>
  <si>
    <t>Year 2 Backup Consumption</t>
  </si>
  <si>
    <t>Year 3 Backup Consumption</t>
  </si>
  <si>
    <t>Year 4 Backup Consumption</t>
  </si>
  <si>
    <t>Year 5 Backup Consumption</t>
  </si>
  <si>
    <t>Year 1 Available Backup Capacity</t>
  </si>
  <si>
    <t>Year 2 Available Backup Capacity</t>
  </si>
  <si>
    <t>Year 3 Available Backup Capacity</t>
  </si>
  <si>
    <t>Year 4 Available Backup Capacity</t>
  </si>
  <si>
    <t>Year 5 Available Backup Capacity</t>
  </si>
  <si>
    <t>Threshold Warnings</t>
  </si>
  <si>
    <t>Site's Desired USB Workstation Ratio:</t>
  </si>
  <si>
    <t>Site's Desired Smart Card Workstation Ratio:</t>
  </si>
  <si>
    <t>Enter 0 if the site is using USB Cryptographic Tokens only.</t>
  </si>
  <si>
    <t>Year 1 USB Workstation Ratio:</t>
  </si>
  <si>
    <t>Year 2 USB Workstation Ratio:</t>
  </si>
  <si>
    <t>Year 3 USB Workstation Ratio:</t>
  </si>
  <si>
    <t>Year 4 USB Workstation Ratio:</t>
  </si>
  <si>
    <t>Year 5 USB Workstation Ratio:</t>
  </si>
  <si>
    <t>Year 1 Smart Card Workstation Ratio:</t>
  </si>
  <si>
    <t>Year 2 Smart Card Workstation Ratio:</t>
  </si>
  <si>
    <t>Year 3 Smart Card Workstation Ratio:</t>
  </si>
  <si>
    <t>Year 4 Smart Card Workstation Ratio:</t>
  </si>
  <si>
    <t>Year 5 Smart Card Workstation Ratio:</t>
  </si>
  <si>
    <t>No thresholds calculated.  Summary estimate of number of tokens and renewals requried each year.</t>
  </si>
  <si>
    <t>Year 2 New Tokens</t>
  </si>
  <si>
    <t>Year 3 New Tokens</t>
  </si>
  <si>
    <t>Year 4 New Tokens</t>
  </si>
  <si>
    <t>Year 5 New Tokens</t>
  </si>
  <si>
    <t>Year 1 Initial Tokens</t>
  </si>
  <si>
    <t>Year 1 Token Renewals</t>
  </si>
  <si>
    <t>Year 2 Token Renewals</t>
  </si>
  <si>
    <t>Year 3 Token Renewals</t>
  </si>
  <si>
    <t>Year 4 Token Renewals</t>
  </si>
  <si>
    <t>Year 5 Token Renewals</t>
  </si>
  <si>
    <t>Introduction</t>
  </si>
  <si>
    <t>A site should consider adding backup capacity when 85% to 90% of disk capacity has been consumed. (.85 or .90)</t>
  </si>
  <si>
    <t>Site's Threshold to Add Backup Space</t>
  </si>
  <si>
    <t>Base Capacity</t>
  </si>
  <si>
    <t>EPCS Credentialing Roles</t>
  </si>
  <si>
    <t>This tab captures the information needed to assess whether a site has a sufficient number of individuals to support the EPCS credential roles.</t>
  </si>
  <si>
    <t>This tab captures the information needed to plan the number of tokens to acquire each year. Note: This only applies to USB Cryptographic Tokens. Sites using PIVs would plan for PIVs using their normal onboarding processes.</t>
  </si>
  <si>
    <t>This tab captures the information needed to estimate disk space consumption based on EPCS activities.</t>
  </si>
  <si>
    <t>This tab captures the information needed to estimate backup space consumption based on EPCS activities.</t>
  </si>
  <si>
    <t>This tab captures the information needed to deterimine if a sufficient number of EPCS capable workstations are available to support EPCS activities.</t>
  </si>
  <si>
    <t>Threshold Montitoring</t>
  </si>
  <si>
    <t>EPCS Capacity Plan Spreadsheet</t>
  </si>
  <si>
    <t>Number of EPCS Capable Providers:</t>
  </si>
  <si>
    <t>Number of EPCS Capable Providers that leave the site each year:</t>
  </si>
  <si>
    <t>Number of EPCS Capable Pharmacists:</t>
  </si>
  <si>
    <t>Number of EPCS Capable Pharmacists that leave the site each year:</t>
  </si>
  <si>
    <t>Determine the Number of Provider Profile Administrators a site will assign:</t>
  </si>
  <si>
    <t>Determine the Number of Provider Access Administrators a site will assign:</t>
  </si>
  <si>
    <t>Outpatient Controlled Substance Medication Orders Processed</t>
  </si>
  <si>
    <t>Comment</t>
  </si>
  <si>
    <t>Total Backup Space Available:</t>
  </si>
  <si>
    <t>See Section 2.1 of the EPCS Capacity Planning document for more information</t>
  </si>
  <si>
    <t>Number of EPCS Capable Providers that join the site each year:</t>
  </si>
  <si>
    <t>Number of EPCS Capable Pharmacists that join site each year:</t>
  </si>
  <si>
    <t>Outpatient Controlled Substance Medication Orders Created</t>
  </si>
  <si>
    <t>Average Number of Outpatient Controlled Substance Medication Orders created per day:</t>
  </si>
  <si>
    <t>See Section 2.2 of the EPCS Capacity Planning document for more information</t>
  </si>
  <si>
    <t>See Section 2.3 of the EPCS Capacity Planning document for more information</t>
  </si>
  <si>
    <t>See Section 2.4 of the EPCS Capacity Planning document for more information</t>
  </si>
  <si>
    <t>See Section 2.5 of the EPCS Capacity Planning document for more information</t>
  </si>
  <si>
    <t>See Section 2.6 of the EPCS Capacity Planning document for more information</t>
  </si>
  <si>
    <t>Replacement Token Manual Override:</t>
  </si>
  <si>
    <t>Lifespan of Tokens:</t>
  </si>
  <si>
    <t>Ratio of EPCS Credentialing Roles to Providers</t>
  </si>
  <si>
    <t>See Section 3.0 of the EPCS Capacity Planning document for more information</t>
  </si>
  <si>
    <t>This tab captures the basic information such as number of providers, number of controlled substance medication orders, number of pharmacists, and available disk and backup space.</t>
  </si>
  <si>
    <t>Average number of medication orders created per provider per day:</t>
  </si>
  <si>
    <t>Average number of medication orders processed per pharmacist per day:</t>
  </si>
  <si>
    <t>As an example, if the backup size is 60% of the original size, enter 0.6.
Note: The fields in the PKI Digital Signatures file are already stored in encoded and compressed format. This file will not see much benefit from backup compression.</t>
  </si>
  <si>
    <t>MB</t>
  </si>
  <si>
    <t>Yes</t>
  </si>
  <si>
    <t>No</t>
  </si>
  <si>
    <t>Does the Site support an Internal Outpatient Pharmacy?</t>
  </si>
  <si>
    <t>What units will be used for Disk and Backup Space?</t>
  </si>
  <si>
    <t>Average Number of Outpatient Controlled Substance Medication Orders Processed per day:</t>
  </si>
  <si>
    <t>Number of Days Between Full Backups:</t>
  </si>
  <si>
    <t>Number of Days Between Incremental Backups:</t>
  </si>
  <si>
    <t>Year 1 Differential Backup Space</t>
  </si>
  <si>
    <t>Year 2 Differential Backup Space</t>
  </si>
  <si>
    <t>Year 3 Differential Backup Space</t>
  </si>
  <si>
    <t>Year 4 Differential Backup Space</t>
  </si>
  <si>
    <t>Year 5 Differential Backup Space</t>
  </si>
  <si>
    <t>Note that for all yearly calculations, this is the additional space required for each year.  The values are not cumulative.</t>
  </si>
  <si>
    <t>Additional tokens needed for subsequent years:</t>
  </si>
  <si>
    <t>Number of Replacement Token (calculated):</t>
  </si>
  <si>
    <t>Number of Replacement Token (calculated or override):</t>
  </si>
  <si>
    <t>Select 'KB', 'MB', or 'GB' from the drop-down list.  Remember to use same units of measurement throughout for disk and backup space.</t>
  </si>
  <si>
    <t>Select 'Yes' or 'No' from the drop-down list.  If No, you can skip to the Server Disk Space section below.</t>
  </si>
  <si>
    <t>EPCS Audit Log - Expected Growth</t>
  </si>
  <si>
    <t>DEA Order Archive - Expected Growth</t>
  </si>
  <si>
    <t>PKI Digital Signatures - Expected Growth</t>
  </si>
  <si>
    <t>Total Expected Growth Each Year</t>
  </si>
  <si>
    <t>EPCS Orders (Prescriber Side)</t>
  </si>
  <si>
    <t>Prescriptions (Pharmacy Side)</t>
  </si>
  <si>
    <t>Total</t>
  </si>
  <si>
    <t>A site can manually determine the number of replacements needed using its own experience with other credentials. Alternatively, estimate using a percentage. Leave blank if using calculation.</t>
  </si>
  <si>
    <t>Year 2 Provider Profile Administrator Ratio</t>
  </si>
  <si>
    <t>Year 3 Provider Profile Administrator Ratio</t>
  </si>
  <si>
    <t>Year 4 Provider Profile Administrator Ratio</t>
  </si>
  <si>
    <t>Year 5 Provider Profile Administrator Ratio</t>
  </si>
  <si>
    <t>Year 2 Provider Access Administrator Ratio</t>
  </si>
  <si>
    <t>Year 3 Provider Access Administrator Ratio</t>
  </si>
  <si>
    <t>Year 4 Provider Access Administrator Ratio</t>
  </si>
  <si>
    <t>Year 5 Provider Access Administrator Ratio</t>
  </si>
  <si>
    <t>RDP or terminal server clients capable of passing through USB Token</t>
  </si>
  <si>
    <t>Workstations with PIV card readers</t>
  </si>
  <si>
    <t>RDP or terminal server clients capable of passing through PIV card</t>
  </si>
  <si>
    <t>Average number of USB-enabled device per Access Admininstrator:</t>
  </si>
  <si>
    <t>Average number of Smart Card enbled devices per Access Administrator:</t>
  </si>
  <si>
    <t>Average number of USB-enabled device per Provider:</t>
  </si>
  <si>
    <t>Average number of Smart Card enbled devices per Provider:</t>
  </si>
  <si>
    <t>Total Backup Space</t>
  </si>
  <si>
    <t>Do not include Reserved Disk Space in this amount</t>
  </si>
  <si>
    <t>Average daily growth of backup space used:</t>
  </si>
  <si>
    <t>Number of Full Backups During Cycle:</t>
  </si>
  <si>
    <t>Number of Incremental Backups During Cycle:</t>
  </si>
  <si>
    <t>Number of Differential Backups During Cycle:</t>
  </si>
  <si>
    <t>Year 1 Cycle Full Backups</t>
  </si>
  <si>
    <t>Year 2 Cycle Full Backups</t>
  </si>
  <si>
    <t>Year 3 Cycle Full Backups</t>
  </si>
  <si>
    <t>Year 4 Cycle Full Backups</t>
  </si>
  <si>
    <t>Year 5 Cycle Full Backups</t>
  </si>
  <si>
    <t>Year 1 Cycle Incremental Backups</t>
  </si>
  <si>
    <t>Year 2 Cycle Incremental Backups</t>
  </si>
  <si>
    <t>Year 3 Cycle Incremental Backups</t>
  </si>
  <si>
    <t>Year 4 Cycle Incremental Backups</t>
  </si>
  <si>
    <t>Year 5 Cycle Incremental Backups</t>
  </si>
  <si>
    <t>Year 1 Cycle Differential Backups</t>
  </si>
  <si>
    <t>Year 3 Cycle Differential Backups</t>
  </si>
  <si>
    <t>Year 4 Cycle Differential Backups</t>
  </si>
  <si>
    <t>Year 5 Cycle Differential Backups</t>
  </si>
  <si>
    <t>Year 2 Cycle Differential Backups</t>
  </si>
  <si>
    <t>Year 1 Cycle Backup Space</t>
  </si>
  <si>
    <t>Year 2 Cycle Backup Space</t>
  </si>
  <si>
    <t>Year 3 Cycle Backup Space</t>
  </si>
  <si>
    <t>Year 4 Cycle Backup Space</t>
  </si>
  <si>
    <t>Year 5 Cycle Backup Space</t>
  </si>
  <si>
    <t xml:space="preserve">This capacity plan spreadsheet accompanies the EPCS Capacity Plan document. The top of each tab lists the corresponding section in the EPCS Capacity Plan document. 
The cells with solid borders are cells that require user input.  Cells highlighted in yellow are calculated values.  While it is recommended that all worksheets be done, it is strongly recommended that you complete the first three worksheets (Base Capacity, Disk Capacity, and Backup Capacity) and review Disk Capacity and Backup Capacity on the Threshold Monitoring worksheet to determine whether your site has the correct amount of space to install and run EPCS. </t>
  </si>
  <si>
    <t>This tab summarizes the information from the previous tabs and provides an indication of potential capacity issues.</t>
  </si>
  <si>
    <t>Ratio of Providers to the number of Provider Profile Administrators</t>
  </si>
  <si>
    <t>Ratio of Providers to the number of Provider Access Administrators</t>
  </si>
  <si>
    <t>In years. Identrust is 2 years (default).  ORC is 1 year.</t>
  </si>
  <si>
    <t>Enter 0 if using PIV only.</t>
  </si>
  <si>
    <t>End of Worksheet</t>
  </si>
  <si>
    <r>
      <rPr>
        <b/>
        <sz val="11"/>
        <color theme="1"/>
        <rFont val="Calibri"/>
        <family val="2"/>
        <scheme val="minor"/>
      </rPr>
      <t>Note</t>
    </r>
    <r>
      <rPr>
        <sz val="11"/>
        <color theme="1"/>
        <rFont val="Calibri"/>
        <family val="2"/>
        <scheme val="minor"/>
      </rPr>
      <t>: The totals in D50 through D54 affect the Threshold Monitoring worksheet in cells D8 through D12.</t>
    </r>
  </si>
  <si>
    <t>End of worksheet</t>
  </si>
  <si>
    <r>
      <rPr>
        <b/>
        <sz val="11"/>
        <color theme="1"/>
        <rFont val="Calibri"/>
        <family val="2"/>
        <scheme val="minor"/>
      </rPr>
      <t>Note</t>
    </r>
    <r>
      <rPr>
        <sz val="11"/>
        <color theme="1"/>
        <rFont val="Calibri"/>
        <family val="2"/>
        <scheme val="minor"/>
      </rPr>
      <t xml:space="preserve">: The totals in D53 through D57 affect the Threshold Monitoring worksheet in cells D24 through D28. </t>
    </r>
  </si>
  <si>
    <r>
      <t xml:space="preserve">Note: </t>
    </r>
    <r>
      <rPr>
        <sz val="11"/>
        <color theme="1"/>
        <rFont val="Calibri"/>
        <family val="2"/>
        <scheme val="minor"/>
      </rPr>
      <t>The totals in D10, D11, D16, D20, and D21 through D24 affect the Threshold Monitoring worksheet in cells D53 through D57 and D59 through D63.</t>
    </r>
  </si>
  <si>
    <r>
      <rPr>
        <b/>
        <sz val="11"/>
        <color theme="1"/>
        <rFont val="Calibri"/>
        <family val="2"/>
        <scheme val="minor"/>
      </rPr>
      <t>Note</t>
    </r>
    <r>
      <rPr>
        <sz val="11"/>
        <color theme="1"/>
        <rFont val="Calibri"/>
        <family val="2"/>
        <scheme val="minor"/>
      </rPr>
      <t>: The totals in D27, D28, D30, and D31 affect the Threshold Monitoring worksheet in cells D69 through D73 and D75 through D79.</t>
    </r>
  </si>
  <si>
    <r>
      <rPr>
        <b/>
        <sz val="11"/>
        <color theme="1"/>
        <rFont val="Calibri"/>
        <family val="2"/>
        <scheme val="minor"/>
      </rPr>
      <t>Note</t>
    </r>
    <r>
      <rPr>
        <sz val="11"/>
        <color theme="1"/>
        <rFont val="Calibri"/>
        <family val="2"/>
        <scheme val="minor"/>
      </rPr>
      <t>: The totals in D7, D15, and D13 affect the Disk Capacity worksheet in cells D34 though D38 and D43 through D47. The totals in D7 and D10 affect the EPCS Credentialing Roles worksheet in cells D8, D15, D10 through D12, and D16 through D19.  The totals in D7 and D8 affect the Cryptographic Tokens worksheet in cells D10 and D11. The totals in D7 affect the Workstation Capacity worksheet in cells D30 and D31. The totals in D7 , D10, D33, D34, D37, and D38 affect the Threshold Monitoring worksheet in cells D8 through D12, D24 through D28, D30 through D34, D70 through D73, and D76 through D79.</t>
    </r>
  </si>
  <si>
    <r>
      <rPr>
        <b/>
        <sz val="11"/>
        <color theme="1"/>
        <rFont val="Calibri"/>
        <family val="2"/>
        <scheme val="minor"/>
      </rPr>
      <t>Note</t>
    </r>
    <r>
      <rPr>
        <sz val="11"/>
        <color theme="1"/>
        <rFont val="Calibri"/>
        <family val="2"/>
        <scheme val="minor"/>
      </rPr>
      <t>: The totals in D14 affect the Cryptographic Token worksheet in cell D7. The totals in D7 affect the Workstation Capacity worksheet in cells D16 and D17. The totals in D8 through D12 and D15 through D19 affect the Threshold Monitoring worksheet in cells D40 through D44 and D46 through D50.</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</si>
</sst>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0.000000"/>
    <numFmt numFmtId="166" formatCode="0.00000000"/>
    <numFmt numFmtId="167" formatCode="0.0000"/>
  </numFmts>
  <fonts count="4"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0" fontId="0" fillId="0" borderId="0" xfId="0" applyAlignment="1">
      <alignment vertical="top"/>
    </xf>
    <xf numFmtId="0" fontId="0" fillId="0" borderId="0" xfId="0" applyAlignment="1">
      <alignment vertical="top" wrapText="1"/>
    </xf>
    <xf numFmtId="0" fontId="1" fillId="0" borderId="0" xfId="0" applyFont="1" applyAlignment="1">
      <alignment vertical="top" wrapText="1"/>
    </xf>
    <xf numFmtId="0" fontId="1" fillId="0" borderId="0" xfId="0" applyFont="1" applyAlignment="1">
      <alignment vertical="top"/>
    </xf>
    <xf numFmtId="0" fontId="0" fillId="0" borderId="0" xfId="0" applyFont="1" applyAlignment="1">
      <alignment vertical="top" wrapText="1"/>
    </xf>
    <xf numFmtId="0" fontId="0" fillId="0" borderId="0" xfId="0" applyFont="1" applyAlignment="1">
      <alignment vertical="top"/>
    </xf>
    <xf numFmtId="0" fontId="2" fillId="0" borderId="0" xfId="0" applyFont="1" applyAlignment="1">
      <alignment vertical="top"/>
    </xf>
    <xf numFmtId="0" fontId="1" fillId="0" borderId="0" xfId="0" applyFont="1" applyProtection="1">
      <protection locked="0"/>
    </xf>
    <xf numFmtId="0" fontId="0" fillId="0" borderId="0" xfId="0" applyProtection="1">
      <protection locked="0"/>
    </xf>
    <xf numFmtId="0" fontId="2" fillId="0" borderId="0" xfId="0" applyFont="1" applyProtection="1">
      <protection locked="0"/>
    </xf>
    <xf numFmtId="0" fontId="0" fillId="0" borderId="0" xfId="0" applyAlignment="1" applyProtection="1">
      <alignment horizontal="left" vertical="top" wrapText="1"/>
      <protection locked="0"/>
    </xf>
    <xf numFmtId="0" fontId="2" fillId="0" borderId="0" xfId="0" applyFont="1" applyAlignment="1" applyProtection="1">
      <alignment vertical="top"/>
      <protection locked="0"/>
    </xf>
    <xf numFmtId="0" fontId="0" fillId="0" borderId="0" xfId="0" applyAlignment="1" applyProtection="1">
      <alignment vertical="top" wrapText="1"/>
      <protection locked="0"/>
    </xf>
    <xf numFmtId="0" fontId="0" fillId="0" borderId="0" xfId="0" applyAlignment="1" applyProtection="1">
      <alignment vertical="top"/>
      <protection locked="0"/>
    </xf>
    <xf numFmtId="0" fontId="1" fillId="0" borderId="0" xfId="0" applyFont="1" applyAlignment="1" applyProtection="1">
      <alignment vertical="top" wrapText="1"/>
      <protection locked="0"/>
    </xf>
    <xf numFmtId="0" fontId="1" fillId="0" borderId="0" xfId="0" applyFont="1" applyAlignment="1" applyProtection="1">
      <alignment vertical="top"/>
      <protection locked="0"/>
    </xf>
    <xf numFmtId="0" fontId="0" fillId="0" borderId="0" xfId="0" applyFont="1" applyAlignment="1" applyProtection="1">
      <alignment vertical="top" wrapText="1"/>
      <protection locked="0"/>
    </xf>
    <xf numFmtId="0" fontId="2" fillId="0" borderId="0" xfId="0" applyFont="1" applyAlignment="1" applyProtection="1">
      <alignment vertical="top"/>
    </xf>
    <xf numFmtId="0" fontId="0" fillId="0" borderId="0" xfId="0" applyAlignment="1" applyProtection="1">
      <alignment vertical="top" wrapText="1"/>
    </xf>
    <xf numFmtId="0" fontId="0" fillId="0" borderId="0" xfId="0" applyAlignment="1" applyProtection="1">
      <alignment vertical="top"/>
    </xf>
    <xf numFmtId="0" fontId="1" fillId="0" borderId="0" xfId="0" applyFont="1" applyAlignment="1" applyProtection="1">
      <alignment vertical="top" wrapText="1"/>
    </xf>
    <xf numFmtId="0" fontId="1" fillId="0" borderId="0" xfId="0" applyFont="1" applyAlignment="1" applyProtection="1">
      <alignment vertical="top"/>
    </xf>
    <xf numFmtId="0" fontId="0" fillId="0" borderId="0" xfId="0" applyFont="1" applyAlignment="1" applyProtection="1">
      <alignment vertical="top" wrapText="1"/>
    </xf>
    <xf numFmtId="0" fontId="0" fillId="0" borderId="0" xfId="0" applyFont="1" applyAlignment="1" applyProtection="1">
      <alignment vertical="top"/>
      <protection locked="0"/>
    </xf>
    <xf numFmtId="0" fontId="0" fillId="0" borderId="0" xfId="0" applyFill="1" applyAlignment="1">
      <alignment vertical="top"/>
    </xf>
    <xf numFmtId="0" fontId="0" fillId="0" borderId="0" xfId="0" applyAlignment="1" applyProtection="1">
      <protection locked="0"/>
    </xf>
    <xf numFmtId="0" fontId="1" fillId="0" borderId="0" xfId="0" applyFont="1" applyAlignment="1" applyProtection="1">
      <alignment wrapText="1"/>
      <protection locked="0"/>
    </xf>
    <xf numFmtId="0" fontId="1" fillId="0" borderId="0" xfId="0" applyFont="1" applyAlignment="1" applyProtection="1">
      <protection locked="0"/>
    </xf>
    <xf numFmtId="0" fontId="1" fillId="0" borderId="0" xfId="0" applyFont="1" applyAlignment="1">
      <alignment wrapText="1"/>
    </xf>
    <xf numFmtId="0" fontId="3" fillId="0" borderId="0" xfId="0" applyFont="1" applyAlignment="1" applyProtection="1">
      <alignment vertical="top"/>
    </xf>
    <xf numFmtId="0" fontId="0" fillId="0" borderId="0" xfId="0" applyAlignment="1" applyProtection="1">
      <alignment vertical="top"/>
      <protection hidden="1"/>
    </xf>
    <xf numFmtId="0" fontId="0" fillId="0" borderId="0" xfId="0" applyAlignment="1" applyProtection="1">
      <alignment vertical="top" wrapText="1"/>
      <protection hidden="1"/>
    </xf>
    <xf numFmtId="2" fontId="1" fillId="0" borderId="0" xfId="0" applyNumberFormat="1" applyFont="1" applyAlignment="1" applyProtection="1">
      <alignment vertical="top"/>
      <protection hidden="1"/>
    </xf>
    <xf numFmtId="166" fontId="1" fillId="0" borderId="0" xfId="0" applyNumberFormat="1" applyFont="1" applyAlignment="1" applyProtection="1">
      <alignment vertical="top"/>
      <protection hidden="1"/>
    </xf>
    <xf numFmtId="164" fontId="0" fillId="0" borderId="0" xfId="0" applyNumberFormat="1" applyFill="1" applyAlignment="1" applyProtection="1">
      <alignment vertical="top"/>
      <protection hidden="1"/>
    </xf>
    <xf numFmtId="165" fontId="0" fillId="0" borderId="0" xfId="0" applyNumberFormat="1" applyFill="1" applyAlignment="1" applyProtection="1">
      <alignment vertical="top"/>
      <protection hidden="1"/>
    </xf>
    <xf numFmtId="1" fontId="1" fillId="0" borderId="0" xfId="0" applyNumberFormat="1" applyFont="1" applyAlignment="1" applyProtection="1">
      <alignment vertical="top"/>
      <protection hidden="1"/>
    </xf>
    <xf numFmtId="0" fontId="0" fillId="0" borderId="0" xfId="0" applyFill="1" applyAlignment="1" applyProtection="1">
      <alignment vertical="top"/>
      <protection hidden="1"/>
    </xf>
    <xf numFmtId="0" fontId="0" fillId="0" borderId="1" xfId="0"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0" xfId="0" applyFont="1" applyAlignment="1" applyProtection="1">
      <alignment horizontal="center"/>
      <protection locked="0"/>
    </xf>
    <xf numFmtId="0" fontId="1" fillId="0" borderId="0" xfId="0" applyFont="1" applyAlignment="1" applyProtection="1">
      <alignment horizontal="center"/>
      <protection locked="0"/>
    </xf>
    <xf numFmtId="0" fontId="0" fillId="0" borderId="0" xfId="0" applyAlignment="1">
      <alignment horizontal="center"/>
    </xf>
    <xf numFmtId="0" fontId="1" fillId="0" borderId="0" xfId="0" applyFont="1" applyAlignment="1">
      <alignment horizontal="center"/>
    </xf>
    <xf numFmtId="2" fontId="0" fillId="0" borderId="1" xfId="0" applyNumberFormat="1" applyBorder="1" applyAlignment="1" applyProtection="1">
      <alignment horizontal="center"/>
      <protection locked="0"/>
    </xf>
    <xf numFmtId="0" fontId="0" fillId="2" borderId="0" xfId="0" applyFill="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center"/>
    </xf>
    <xf numFmtId="0" fontId="1" fillId="0" borderId="0" xfId="0" applyFont="1" applyAlignment="1" applyProtection="1">
      <alignment horizontal="center"/>
    </xf>
    <xf numFmtId="0" fontId="0" fillId="2" borderId="0" xfId="0" applyFill="1" applyAlignment="1">
      <alignment horizontal="center"/>
    </xf>
    <xf numFmtId="0" fontId="0" fillId="0" borderId="0" xfId="0" applyFont="1" applyAlignment="1">
      <alignment horizontal="center"/>
    </xf>
    <xf numFmtId="0" fontId="0" fillId="0" borderId="0" xfId="0" quotePrefix="1" applyAlignment="1">
      <alignment horizontal="center"/>
    </xf>
    <xf numFmtId="1" fontId="0" fillId="2" borderId="0" xfId="0" applyNumberFormat="1" applyFont="1" applyFill="1" applyAlignment="1">
      <alignment horizontal="center"/>
    </xf>
    <xf numFmtId="1" fontId="0" fillId="2" borderId="0" xfId="0" quotePrefix="1" applyNumberFormat="1" applyFill="1" applyAlignment="1">
      <alignment horizontal="center"/>
    </xf>
    <xf numFmtId="1" fontId="0" fillId="2" borderId="0" xfId="0" applyNumberFormat="1" applyFill="1" applyAlignment="1">
      <alignment horizontal="center"/>
    </xf>
    <xf numFmtId="1" fontId="0" fillId="0" borderId="0" xfId="0" applyNumberFormat="1" applyAlignment="1">
      <alignment horizontal="center"/>
    </xf>
    <xf numFmtId="2" fontId="0" fillId="2" borderId="0" xfId="0" applyNumberFormat="1" applyFill="1" applyAlignment="1">
      <alignment horizontal="center"/>
    </xf>
    <xf numFmtId="2" fontId="0" fillId="0" borderId="0" xfId="0" applyNumberFormat="1" applyFill="1" applyAlignment="1">
      <alignment horizontal="center"/>
    </xf>
    <xf numFmtId="2" fontId="0" fillId="2" borderId="0" xfId="0" applyNumberFormat="1" applyFont="1" applyFill="1" applyAlignment="1">
      <alignment horizontal="center"/>
    </xf>
    <xf numFmtId="1" fontId="0" fillId="0" borderId="0" xfId="0" applyNumberFormat="1" applyFill="1" applyAlignment="1">
      <alignment horizontal="center"/>
    </xf>
    <xf numFmtId="2" fontId="0" fillId="0" borderId="0" xfId="0" applyNumberFormat="1" applyAlignment="1">
      <alignment horizontal="center"/>
    </xf>
    <xf numFmtId="167" fontId="1" fillId="2" borderId="0" xfId="0" applyNumberFormat="1" applyFont="1" applyFill="1" applyAlignment="1">
      <alignment horizontal="center"/>
    </xf>
    <xf numFmtId="167" fontId="0" fillId="0" borderId="0" xfId="0" applyNumberFormat="1" applyAlignment="1">
      <alignment horizontal="center"/>
    </xf>
    <xf numFmtId="167" fontId="1" fillId="0" borderId="0" xfId="0" applyNumberFormat="1" applyFont="1" applyAlignment="1">
      <alignment horizontal="center"/>
    </xf>
    <xf numFmtId="167" fontId="1" fillId="0" borderId="0" xfId="0" applyNumberFormat="1" applyFont="1" applyAlignment="1" applyProtection="1">
      <alignment horizontal="center"/>
      <protection hidden="1"/>
    </xf>
    <xf numFmtId="167" fontId="1" fillId="0" borderId="0" xfId="0" applyNumberFormat="1" applyFont="1" applyFill="1" applyAlignment="1">
      <alignment horizontal="center"/>
    </xf>
    <xf numFmtId="167" fontId="1" fillId="2" borderId="0" xfId="0" quotePrefix="1" applyNumberFormat="1" applyFont="1" applyFill="1" applyAlignment="1" applyProtection="1">
      <alignment horizontal="center"/>
      <protection locked="0"/>
    </xf>
    <xf numFmtId="167" fontId="0" fillId="0" borderId="0" xfId="0" applyNumberFormat="1" applyAlignment="1" applyProtection="1">
      <alignment horizontal="center"/>
      <protection locked="0"/>
    </xf>
    <xf numFmtId="167" fontId="1" fillId="2" borderId="0" xfId="0" applyNumberFormat="1" applyFont="1" applyFill="1" applyAlignment="1" applyProtection="1">
      <alignment horizontal="center"/>
      <protection locked="0"/>
    </xf>
    <xf numFmtId="167" fontId="1" fillId="0" borderId="0" xfId="0" applyNumberFormat="1" applyFont="1" applyAlignment="1" applyProtection="1">
      <alignment horizontal="center"/>
      <protection locked="0"/>
    </xf>
    <xf numFmtId="0" fontId="0" fillId="2" borderId="0" xfId="0" applyFont="1" applyFill="1" applyAlignment="1">
      <alignment horizontal="left" wrapText="1"/>
    </xf>
    <xf numFmtId="0" fontId="0" fillId="0" borderId="0" xfId="0" applyFont="1" applyAlignment="1">
      <alignment horizontal="left" wrapText="1"/>
    </xf>
    <xf numFmtId="0" fontId="0" fillId="0" borderId="0" xfId="0"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0" fontId="0" fillId="2" borderId="0" xfId="0" applyFont="1" applyFill="1" applyAlignment="1">
      <alignment horizontal="left"/>
    </xf>
    <xf numFmtId="0" fontId="0" fillId="0" borderId="0" xfId="0" applyAlignment="1">
      <alignment horizontal="left"/>
    </xf>
    <xf numFmtId="0" fontId="0" fillId="2" borderId="0" xfId="0" applyFill="1" applyAlignment="1">
      <alignment horizontal="left"/>
    </xf>
    <xf numFmtId="0" fontId="0" fillId="0" borderId="0" xfId="0" applyFill="1" applyAlignment="1">
      <alignment horizontal="left"/>
    </xf>
    <xf numFmtId="0" fontId="0" fillId="2" borderId="0" xfId="0" applyFill="1" applyAlignment="1">
      <alignment horizontal="left" vertical="top"/>
    </xf>
    <xf numFmtId="2" fontId="0" fillId="0" borderId="0" xfId="0" applyNumberFormat="1" applyFont="1" applyAlignment="1">
      <alignment horizontal="center"/>
    </xf>
    <xf numFmtId="2" fontId="0" fillId="2" borderId="0" xfId="0" quotePrefix="1" applyNumberForma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zoomScaleNormal="100" workbookViewId="0">
      <selection activeCell="A29" sqref="A29:XFD1048576"/>
    </sheetView>
  </sheetViews>
  <sheetFormatPr defaultColWidth="0" defaultRowHeight="15" zeroHeight="1" x14ac:dyDescent="0.25"/>
  <cols>
    <col min="1" max="1" width="101.7109375" style="9" customWidth="1"/>
    <col min="2" max="2" width="8.85546875" style="9" customWidth="1"/>
    <col min="3" max="6" width="0" style="9" hidden="1" customWidth="1"/>
    <col min="7" max="16384" width="8.85546875" style="9" hidden="1"/>
  </cols>
  <sheetData>
    <row r="1" spans="1:6" x14ac:dyDescent="0.25">
      <c r="A1" s="8" t="s">
        <v>180</v>
      </c>
    </row>
    <row r="2" spans="1:6" x14ac:dyDescent="0.25"/>
    <row r="3" spans="1:6" ht="15.75" x14ac:dyDescent="0.25">
      <c r="A3" s="10" t="s">
        <v>169</v>
      </c>
    </row>
    <row r="4" spans="1:6" ht="123" customHeight="1" x14ac:dyDescent="0.25">
      <c r="A4" s="11" t="s">
        <v>276</v>
      </c>
      <c r="B4" s="11"/>
      <c r="C4" s="11"/>
      <c r="D4" s="11"/>
      <c r="E4" s="11"/>
      <c r="F4" s="11"/>
    </row>
    <row r="5" spans="1:6" x14ac:dyDescent="0.25"/>
    <row r="6" spans="1:6" x14ac:dyDescent="0.25">
      <c r="A6" s="8" t="s">
        <v>172</v>
      </c>
    </row>
    <row r="7" spans="1:6" ht="30" customHeight="1" x14ac:dyDescent="0.25">
      <c r="A7" s="13" t="s">
        <v>204</v>
      </c>
      <c r="B7" s="13"/>
      <c r="C7" s="13"/>
      <c r="D7" s="13"/>
      <c r="E7" s="13"/>
      <c r="F7" s="13"/>
    </row>
    <row r="8" spans="1:6" x14ac:dyDescent="0.25">
      <c r="A8" s="13"/>
      <c r="B8" s="13"/>
      <c r="C8" s="13"/>
      <c r="D8" s="13"/>
      <c r="E8" s="13"/>
      <c r="F8" s="13"/>
    </row>
    <row r="9" spans="1:6" x14ac:dyDescent="0.25">
      <c r="A9" s="8" t="s">
        <v>39</v>
      </c>
    </row>
    <row r="10" spans="1:6" x14ac:dyDescent="0.25">
      <c r="A10" s="13" t="s">
        <v>176</v>
      </c>
      <c r="B10" s="13"/>
      <c r="C10" s="13"/>
      <c r="D10" s="13"/>
      <c r="E10" s="13"/>
      <c r="F10" s="13"/>
    </row>
    <row r="11" spans="1:6" x14ac:dyDescent="0.25">
      <c r="A11" s="13"/>
      <c r="B11" s="13"/>
      <c r="C11" s="13"/>
      <c r="D11" s="13"/>
      <c r="E11" s="13"/>
      <c r="F11" s="13"/>
    </row>
    <row r="12" spans="1:6" x14ac:dyDescent="0.25">
      <c r="A12" s="8" t="s">
        <v>79</v>
      </c>
    </row>
    <row r="13" spans="1:6" x14ac:dyDescent="0.25">
      <c r="A13" s="13" t="s">
        <v>177</v>
      </c>
      <c r="B13" s="13"/>
      <c r="C13" s="13"/>
      <c r="D13" s="13"/>
      <c r="E13" s="13"/>
      <c r="F13" s="13"/>
    </row>
    <row r="14" spans="1:6" x14ac:dyDescent="0.25">
      <c r="A14" s="13"/>
      <c r="B14" s="13"/>
      <c r="C14" s="13"/>
      <c r="D14" s="13"/>
      <c r="E14" s="13"/>
      <c r="F14" s="13"/>
    </row>
    <row r="15" spans="1:6" x14ac:dyDescent="0.25">
      <c r="A15" s="8" t="s">
        <v>173</v>
      </c>
    </row>
    <row r="16" spans="1:6" ht="30" customHeight="1" x14ac:dyDescent="0.25">
      <c r="A16" s="13" t="s">
        <v>174</v>
      </c>
      <c r="B16" s="13"/>
      <c r="C16" s="13"/>
      <c r="D16" s="13"/>
      <c r="E16" s="13"/>
      <c r="F16" s="13"/>
    </row>
    <row r="17" spans="1:6" x14ac:dyDescent="0.25">
      <c r="A17" s="13"/>
      <c r="B17" s="13"/>
      <c r="C17" s="13"/>
      <c r="D17" s="13"/>
      <c r="E17" s="13"/>
      <c r="F17" s="13"/>
    </row>
    <row r="18" spans="1:6" x14ac:dyDescent="0.25">
      <c r="A18" s="8" t="s">
        <v>38</v>
      </c>
    </row>
    <row r="19" spans="1:6" ht="45.75" customHeight="1" x14ac:dyDescent="0.25">
      <c r="A19" s="13" t="s">
        <v>175</v>
      </c>
      <c r="B19" s="13"/>
      <c r="C19" s="13"/>
      <c r="D19" s="13"/>
      <c r="E19" s="13"/>
      <c r="F19" s="13"/>
    </row>
    <row r="20" spans="1:6" x14ac:dyDescent="0.25">
      <c r="A20" s="13"/>
      <c r="B20" s="13"/>
      <c r="C20" s="13"/>
      <c r="D20" s="13"/>
      <c r="E20" s="13"/>
      <c r="F20" s="13"/>
    </row>
    <row r="21" spans="1:6" x14ac:dyDescent="0.25">
      <c r="A21" s="8" t="s">
        <v>95</v>
      </c>
    </row>
    <row r="22" spans="1:6" ht="30" customHeight="1" x14ac:dyDescent="0.25">
      <c r="A22" s="13" t="s">
        <v>178</v>
      </c>
      <c r="B22" s="13"/>
      <c r="C22" s="13"/>
      <c r="D22" s="13"/>
      <c r="E22" s="13"/>
      <c r="F22" s="13"/>
    </row>
    <row r="23" spans="1:6" x14ac:dyDescent="0.25"/>
    <row r="24" spans="1:6" x14ac:dyDescent="0.25">
      <c r="A24" s="8" t="s">
        <v>179</v>
      </c>
    </row>
    <row r="25" spans="1:6" ht="20.25" customHeight="1" x14ac:dyDescent="0.25">
      <c r="A25" s="13" t="s">
        <v>277</v>
      </c>
      <c r="B25" s="13"/>
      <c r="C25" s="13"/>
      <c r="D25" s="13"/>
      <c r="E25" s="13"/>
      <c r="F25" s="13"/>
    </row>
    <row r="26" spans="1:6" x14ac:dyDescent="0.25">
      <c r="A26" s="13"/>
      <c r="B26" s="13"/>
      <c r="C26" s="13"/>
      <c r="D26" s="13"/>
      <c r="E26" s="13"/>
      <c r="F26" s="13"/>
    </row>
    <row r="27" spans="1:6" x14ac:dyDescent="0.25">
      <c r="A27" s="13" t="s">
        <v>284</v>
      </c>
      <c r="B27" s="13"/>
      <c r="C27" s="13"/>
      <c r="D27" s="13"/>
      <c r="E27" s="13"/>
      <c r="F27" s="13"/>
    </row>
    <row r="28" spans="1:6" x14ac:dyDescent="0.25">
      <c r="A28" s="13"/>
      <c r="B28" s="13"/>
      <c r="C28" s="13"/>
      <c r="D28" s="13"/>
      <c r="E28" s="13"/>
      <c r="F28" s="13"/>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31" zoomScaleNormal="100" workbookViewId="0">
      <selection activeCell="B1" sqref="B1"/>
    </sheetView>
  </sheetViews>
  <sheetFormatPr defaultColWidth="0" defaultRowHeight="15" zeroHeight="1" x14ac:dyDescent="0.25"/>
  <cols>
    <col min="1" max="1" width="3.7109375" style="20" customWidth="1"/>
    <col min="2" max="2" width="62.42578125" style="19" customWidth="1"/>
    <col min="3" max="3" width="1.7109375" style="20" customWidth="1"/>
    <col min="4" max="4" width="15.28515625" style="20" customWidth="1"/>
    <col min="5" max="5" width="4.140625" style="20" customWidth="1"/>
    <col min="6" max="6" width="70.42578125" style="19" customWidth="1"/>
    <col min="7" max="7" width="22.140625" style="20" hidden="1" customWidth="1"/>
    <col min="8" max="8" width="17.42578125" style="20" hidden="1" customWidth="1"/>
    <col min="9" max="9" width="8.85546875" style="20" customWidth="1"/>
    <col min="10" max="16384" width="8.85546875" style="20" hidden="1"/>
  </cols>
  <sheetData>
    <row r="1" spans="1:8" ht="15.75" x14ac:dyDescent="0.25">
      <c r="A1" s="18" t="s">
        <v>172</v>
      </c>
    </row>
    <row r="2" spans="1:8" ht="15.75" x14ac:dyDescent="0.25">
      <c r="A2" s="30" t="s">
        <v>190</v>
      </c>
    </row>
    <row r="3" spans="1:8" ht="15.75" x14ac:dyDescent="0.25">
      <c r="A3" s="18"/>
    </row>
    <row r="4" spans="1:8" x14ac:dyDescent="0.25">
      <c r="B4" s="21" t="s">
        <v>1</v>
      </c>
      <c r="C4" s="22"/>
      <c r="D4" s="22" t="s">
        <v>0</v>
      </c>
      <c r="E4" s="22"/>
      <c r="F4" s="21" t="s">
        <v>6</v>
      </c>
    </row>
    <row r="5" spans="1:8" x14ac:dyDescent="0.25">
      <c r="B5" s="21"/>
      <c r="C5" s="22"/>
      <c r="D5" s="22"/>
      <c r="E5" s="22"/>
      <c r="F5" s="21"/>
      <c r="G5" s="31" t="s">
        <v>209</v>
      </c>
      <c r="H5" s="31" t="s">
        <v>43</v>
      </c>
    </row>
    <row r="6" spans="1:8" ht="15.75" thickBot="1" x14ac:dyDescent="0.3">
      <c r="B6" s="21" t="s">
        <v>2</v>
      </c>
      <c r="C6" s="22"/>
      <c r="D6" s="22"/>
      <c r="E6" s="22"/>
      <c r="F6" s="21"/>
      <c r="G6" s="31" t="s">
        <v>210</v>
      </c>
      <c r="H6" s="31" t="s">
        <v>208</v>
      </c>
    </row>
    <row r="7" spans="1:8" ht="15.75" thickBot="1" x14ac:dyDescent="0.3">
      <c r="B7" s="19" t="s">
        <v>181</v>
      </c>
      <c r="D7" s="39"/>
      <c r="G7" s="31"/>
      <c r="H7" s="31" t="s">
        <v>42</v>
      </c>
    </row>
    <row r="8" spans="1:8" ht="15.75" thickBot="1" x14ac:dyDescent="0.3">
      <c r="B8" s="19" t="s">
        <v>191</v>
      </c>
      <c r="D8" s="39"/>
    </row>
    <row r="9" spans="1:8" ht="15.75" thickBot="1" x14ac:dyDescent="0.3">
      <c r="B9" s="19" t="s">
        <v>182</v>
      </c>
      <c r="D9" s="39"/>
    </row>
    <row r="10" spans="1:8" x14ac:dyDescent="0.25">
      <c r="B10" s="19" t="s">
        <v>3</v>
      </c>
      <c r="D10" s="46">
        <f>+D8-D9</f>
        <v>0</v>
      </c>
    </row>
    <row r="11" spans="1:8" x14ac:dyDescent="0.25">
      <c r="D11" s="47"/>
    </row>
    <row r="12" spans="1:8" ht="15.75" thickBot="1" x14ac:dyDescent="0.3">
      <c r="B12" s="21" t="s">
        <v>193</v>
      </c>
      <c r="D12" s="47"/>
    </row>
    <row r="13" spans="1:8" ht="15.75" thickBot="1" x14ac:dyDescent="0.3">
      <c r="B13" s="19" t="s">
        <v>4</v>
      </c>
      <c r="D13" s="39"/>
    </row>
    <row r="14" spans="1:8" ht="30.75" thickBot="1" x14ac:dyDescent="0.3">
      <c r="B14" s="19" t="s">
        <v>194</v>
      </c>
      <c r="D14" s="39"/>
    </row>
    <row r="15" spans="1:8" ht="15.75" customHeight="1" x14ac:dyDescent="0.25">
      <c r="B15" s="19" t="s">
        <v>205</v>
      </c>
      <c r="D15" s="46" t="str">
        <f>IF(D7=0,"",D14/D7)</f>
        <v/>
      </c>
    </row>
    <row r="16" spans="1:8" x14ac:dyDescent="0.25">
      <c r="D16" s="48"/>
    </row>
    <row r="17" spans="2:6" ht="15.75" thickBot="1" x14ac:dyDescent="0.3">
      <c r="B17" s="21" t="s">
        <v>10</v>
      </c>
      <c r="D17" s="48"/>
    </row>
    <row r="18" spans="2:6" ht="30.75" thickBot="1" x14ac:dyDescent="0.3">
      <c r="B18" s="23" t="s">
        <v>211</v>
      </c>
      <c r="D18" s="40"/>
      <c r="F18" s="23" t="s">
        <v>226</v>
      </c>
    </row>
    <row r="19" spans="2:6" x14ac:dyDescent="0.25">
      <c r="B19" s="21"/>
      <c r="C19" s="22"/>
      <c r="D19" s="49"/>
      <c r="E19" s="22"/>
      <c r="F19" s="21"/>
    </row>
    <row r="20" spans="2:6" ht="15.75" thickBot="1" x14ac:dyDescent="0.3">
      <c r="B20" s="21" t="s">
        <v>11</v>
      </c>
      <c r="C20" s="22"/>
      <c r="D20" s="49"/>
      <c r="E20" s="22"/>
      <c r="F20" s="21"/>
    </row>
    <row r="21" spans="2:6" ht="15.75" thickBot="1" x14ac:dyDescent="0.3">
      <c r="B21" s="19" t="s">
        <v>183</v>
      </c>
      <c r="C21" s="22"/>
      <c r="D21" s="39"/>
      <c r="E21" s="22"/>
    </row>
    <row r="22" spans="2:6" ht="15.75" thickBot="1" x14ac:dyDescent="0.3">
      <c r="B22" s="19" t="s">
        <v>192</v>
      </c>
      <c r="D22" s="39"/>
    </row>
    <row r="23" spans="2:6" ht="15.75" customHeight="1" thickBot="1" x14ac:dyDescent="0.3">
      <c r="B23" s="19" t="s">
        <v>184</v>
      </c>
      <c r="D23" s="39"/>
    </row>
    <row r="24" spans="2:6" ht="15.75" customHeight="1" x14ac:dyDescent="0.25">
      <c r="B24" s="19" t="s">
        <v>12</v>
      </c>
      <c r="D24" s="46">
        <f>+D22-D23</f>
        <v>0</v>
      </c>
    </row>
    <row r="25" spans="2:6" x14ac:dyDescent="0.25">
      <c r="D25" s="47"/>
    </row>
    <row r="26" spans="2:6" ht="15.75" thickBot="1" x14ac:dyDescent="0.3">
      <c r="B26" s="21" t="s">
        <v>187</v>
      </c>
      <c r="D26" s="47"/>
    </row>
    <row r="27" spans="2:6" ht="15.75" thickBot="1" x14ac:dyDescent="0.3">
      <c r="B27" s="19" t="s">
        <v>13</v>
      </c>
      <c r="D27" s="39"/>
    </row>
    <row r="28" spans="2:6" ht="30.75" thickBot="1" x14ac:dyDescent="0.3">
      <c r="B28" s="19" t="s">
        <v>213</v>
      </c>
      <c r="D28" s="39"/>
    </row>
    <row r="29" spans="2:6" ht="30" x14ac:dyDescent="0.25">
      <c r="B29" s="19" t="s">
        <v>206</v>
      </c>
      <c r="D29" s="46" t="str">
        <f>IF(D21=0,"",D28/D21)</f>
        <v/>
      </c>
    </row>
    <row r="30" spans="2:6" x14ac:dyDescent="0.25">
      <c r="D30" s="48"/>
    </row>
    <row r="31" spans="2:6" ht="15.75" thickBot="1" x14ac:dyDescent="0.3">
      <c r="B31" s="21" t="s">
        <v>5</v>
      </c>
      <c r="D31" s="47"/>
    </row>
    <row r="32" spans="2:6" ht="30.75" thickBot="1" x14ac:dyDescent="0.3">
      <c r="B32" s="23" t="s">
        <v>212</v>
      </c>
      <c r="D32" s="39" t="s">
        <v>42</v>
      </c>
      <c r="F32" s="19" t="s">
        <v>225</v>
      </c>
    </row>
    <row r="33" spans="2:6" ht="15.75" thickBot="1" x14ac:dyDescent="0.3">
      <c r="B33" s="19" t="s">
        <v>128</v>
      </c>
      <c r="D33" s="39"/>
      <c r="E33" s="20" t="str">
        <f>+D32</f>
        <v>GB</v>
      </c>
      <c r="F33" s="19" t="s">
        <v>251</v>
      </c>
    </row>
    <row r="34" spans="2:6" ht="15.75" thickBot="1" x14ac:dyDescent="0.3">
      <c r="B34" s="19" t="s">
        <v>7</v>
      </c>
      <c r="D34" s="39"/>
      <c r="E34" s="20" t="str">
        <f>+D32</f>
        <v>GB</v>
      </c>
    </row>
    <row r="35" spans="2:6" x14ac:dyDescent="0.25">
      <c r="D35" s="47"/>
    </row>
    <row r="36" spans="2:6" ht="15.75" thickBot="1" x14ac:dyDescent="0.3">
      <c r="B36" s="21" t="s">
        <v>8</v>
      </c>
      <c r="D36" s="47"/>
    </row>
    <row r="37" spans="2:6" ht="15.75" thickBot="1" x14ac:dyDescent="0.3">
      <c r="B37" s="19" t="s">
        <v>189</v>
      </c>
      <c r="D37" s="39"/>
      <c r="E37" s="20" t="str">
        <f>+D32</f>
        <v>GB</v>
      </c>
    </row>
    <row r="38" spans="2:6" ht="15.75" thickBot="1" x14ac:dyDescent="0.3">
      <c r="B38" s="19" t="s">
        <v>252</v>
      </c>
      <c r="D38" s="39"/>
      <c r="E38" s="20" t="str">
        <f>+D32</f>
        <v>GB</v>
      </c>
    </row>
    <row r="39" spans="2:6" ht="60.75" thickBot="1" x14ac:dyDescent="0.3">
      <c r="B39" s="19" t="s">
        <v>9</v>
      </c>
      <c r="D39" s="39"/>
      <c r="F39" s="19" t="s">
        <v>207</v>
      </c>
    </row>
    <row r="40" spans="2:6" x14ac:dyDescent="0.25"/>
    <row r="41" spans="2:6" ht="150" x14ac:dyDescent="0.25">
      <c r="B41" s="19" t="s">
        <v>288</v>
      </c>
      <c r="C41" s="19"/>
      <c r="D41" s="19"/>
      <c r="E41" s="19"/>
    </row>
    <row r="42" spans="2:6" x14ac:dyDescent="0.25">
      <c r="B42" s="19" t="s">
        <v>282</v>
      </c>
    </row>
    <row r="43" spans="2:6" x14ac:dyDescent="0.25"/>
  </sheetData>
  <sheetProtection sheet="1" objects="1" scenarios="1"/>
  <dataValidations count="2">
    <dataValidation type="list" allowBlank="1" showInputMessage="1" showErrorMessage="1" sqref="D32">
      <formula1>$H$5:$H$7</formula1>
    </dataValidation>
    <dataValidation type="list" allowBlank="1" showInputMessage="1" showErrorMessage="1" sqref="D18">
      <formula1>$G$5:$G$6</formula1>
    </dataValidation>
  </dataValidations>
  <pageMargins left="0.7" right="0.7" top="0.75" bottom="0.75" header="0.3" footer="0.3"/>
  <pageSetup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0" zoomScaleNormal="100" workbookViewId="0">
      <selection activeCell="A60" sqref="A60:XFD1048576"/>
    </sheetView>
  </sheetViews>
  <sheetFormatPr defaultColWidth="0" defaultRowHeight="15" zeroHeight="1" x14ac:dyDescent="0.25"/>
  <cols>
    <col min="1" max="1" width="3.7109375" style="1" customWidth="1"/>
    <col min="2" max="2" width="39.5703125" style="2" customWidth="1"/>
    <col min="3" max="3" width="1.7109375" style="1" customWidth="1"/>
    <col min="4" max="4" width="15.28515625" style="1" customWidth="1"/>
    <col min="5" max="5" width="4.7109375" style="1" customWidth="1"/>
    <col min="6" max="6" width="62.42578125" style="2" customWidth="1"/>
    <col min="7" max="7" width="8.85546875" style="1" customWidth="1"/>
    <col min="8" max="8" width="8.85546875" style="1" hidden="1" customWidth="1"/>
    <col min="9" max="9" width="11" style="1" hidden="1" customWidth="1"/>
    <col min="10" max="16384" width="8.85546875" style="1" hidden="1"/>
  </cols>
  <sheetData>
    <row r="1" spans="1:9" ht="15.75" x14ac:dyDescent="0.25">
      <c r="A1" s="7" t="s">
        <v>39</v>
      </c>
    </row>
    <row r="2" spans="1:9" ht="15.75" x14ac:dyDescent="0.25">
      <c r="A2" s="30" t="s">
        <v>195</v>
      </c>
    </row>
    <row r="3" spans="1:9" x14ac:dyDescent="0.25">
      <c r="A3" s="6" t="s">
        <v>221</v>
      </c>
    </row>
    <row r="4" spans="1:9" x14ac:dyDescent="0.25">
      <c r="A4" s="6"/>
    </row>
    <row r="5" spans="1:9" x14ac:dyDescent="0.25">
      <c r="B5" s="3" t="s">
        <v>1</v>
      </c>
      <c r="C5" s="4"/>
      <c r="D5" s="4" t="s">
        <v>0</v>
      </c>
      <c r="E5" s="4"/>
      <c r="F5" s="3" t="s">
        <v>188</v>
      </c>
    </row>
    <row r="6" spans="1:9" x14ac:dyDescent="0.25">
      <c r="B6" s="3"/>
      <c r="C6" s="4"/>
      <c r="D6" s="4"/>
      <c r="E6" s="4"/>
      <c r="F6" s="1"/>
    </row>
    <row r="7" spans="1:9" x14ac:dyDescent="0.25">
      <c r="B7" s="3" t="s">
        <v>227</v>
      </c>
      <c r="C7" s="4"/>
      <c r="D7" s="4"/>
      <c r="E7" s="4"/>
      <c r="F7" s="3"/>
    </row>
    <row r="8" spans="1:9" s="31" customFormat="1" hidden="1" x14ac:dyDescent="0.25">
      <c r="B8" s="32" t="s">
        <v>40</v>
      </c>
      <c r="D8" s="33">
        <v>4.3</v>
      </c>
      <c r="E8" s="31" t="s">
        <v>43</v>
      </c>
      <c r="F8" s="32"/>
      <c r="H8" s="32"/>
    </row>
    <row r="9" spans="1:9" s="31" customFormat="1" ht="30" hidden="1" x14ac:dyDescent="0.25">
      <c r="B9" s="32" t="s">
        <v>44</v>
      </c>
      <c r="D9" s="34">
        <f>IF('Base Capacity'!D32="KB",+D8,IF('Base Capacity'!D32="MB",+D8/1024,IF('Base Capacity'!D32="GB",+D8/1024/1024,"ERR")))</f>
        <v>4.1007995605468748E-6</v>
      </c>
      <c r="E9" s="32" t="str">
        <f>+'Base Capacity'!D32</f>
        <v>GB</v>
      </c>
      <c r="F9" s="32" t="s">
        <v>41</v>
      </c>
      <c r="H9" s="35"/>
      <c r="I9" s="36"/>
    </row>
    <row r="10" spans="1:9" s="31" customFormat="1" ht="45" hidden="1" x14ac:dyDescent="0.25">
      <c r="B10" s="32" t="s">
        <v>45</v>
      </c>
      <c r="D10" s="37">
        <v>47</v>
      </c>
      <c r="F10" s="32"/>
      <c r="H10" s="38"/>
      <c r="I10" s="38"/>
    </row>
    <row r="11" spans="1:9" s="31" customFormat="1" ht="45" hidden="1" x14ac:dyDescent="0.25">
      <c r="B11" s="32" t="s">
        <v>73</v>
      </c>
      <c r="D11" s="37">
        <v>24</v>
      </c>
      <c r="F11" s="32"/>
      <c r="H11" s="38"/>
      <c r="I11" s="38"/>
    </row>
    <row r="12" spans="1:9" hidden="1" x14ac:dyDescent="0.25">
      <c r="B12" s="4" t="s">
        <v>231</v>
      </c>
    </row>
    <row r="13" spans="1:9" hidden="1" x14ac:dyDescent="0.25">
      <c r="B13" s="2" t="s">
        <v>46</v>
      </c>
      <c r="D13" s="62" t="e">
        <f>+'Base Capacity'!D7*'Base Capacity'!D15*'Base Capacity'!D13*52*D10*D9</f>
        <v>#VALUE!</v>
      </c>
      <c r="E13" s="1" t="str">
        <f>+'Base Capacity'!D32</f>
        <v>GB</v>
      </c>
    </row>
    <row r="14" spans="1:9" hidden="1" x14ac:dyDescent="0.25">
      <c r="B14" s="2" t="s">
        <v>47</v>
      </c>
      <c r="D14" s="62" t="e">
        <f>+('Base Capacity'!D7+'Base Capacity'!D10 )*'Base Capacity'!D15*'Base Capacity'!D13*52*D10*D9</f>
        <v>#VALUE!</v>
      </c>
      <c r="E14" s="1" t="str">
        <f>+'Base Capacity'!D32</f>
        <v>GB</v>
      </c>
    </row>
    <row r="15" spans="1:9" hidden="1" x14ac:dyDescent="0.25">
      <c r="B15" s="2" t="s">
        <v>48</v>
      </c>
      <c r="D15" s="62" t="e">
        <f>+('Base Capacity'!D7+(2*'Base Capacity'!D10) )*'Base Capacity'!D15*'Base Capacity'!D13*52*D10*D9</f>
        <v>#VALUE!</v>
      </c>
      <c r="E15" s="1" t="str">
        <f>+'Base Capacity'!D32</f>
        <v>GB</v>
      </c>
    </row>
    <row r="16" spans="1:9" hidden="1" x14ac:dyDescent="0.25">
      <c r="B16" s="2" t="s">
        <v>49</v>
      </c>
      <c r="D16" s="62" t="e">
        <f>+('Base Capacity'!D7+(3*'Base Capacity'!D10) )*'Base Capacity'!D15*'Base Capacity'!D13*52*D10*D9</f>
        <v>#VALUE!</v>
      </c>
      <c r="E16" s="1" t="str">
        <f>+'Base Capacity'!D32</f>
        <v>GB</v>
      </c>
    </row>
    <row r="17" spans="2:6" hidden="1" x14ac:dyDescent="0.25">
      <c r="B17" s="2" t="s">
        <v>50</v>
      </c>
      <c r="D17" s="62" t="e">
        <f>+('Base Capacity'!D7+(4*'Base Capacity'!D10) )*'Base Capacity'!D15*'Base Capacity'!D13*52*D10*D9</f>
        <v>#VALUE!</v>
      </c>
      <c r="E17" s="1" t="str">
        <f>+'Base Capacity'!D32</f>
        <v>GB</v>
      </c>
    </row>
    <row r="18" spans="2:6" hidden="1" x14ac:dyDescent="0.25">
      <c r="B18" s="4" t="s">
        <v>232</v>
      </c>
      <c r="D18" s="63"/>
    </row>
    <row r="19" spans="2:6" hidden="1" x14ac:dyDescent="0.25">
      <c r="B19" s="5" t="s">
        <v>51</v>
      </c>
      <c r="D19" s="62">
        <f>IF('Base Capacity'!D18="Yes",'Base Capacity'!D21*'Base Capacity'!D29*'Base Capacity'!D27*52*D11*D9,0)</f>
        <v>0</v>
      </c>
      <c r="E19" s="1" t="str">
        <f>+'Base Capacity'!D32</f>
        <v>GB</v>
      </c>
    </row>
    <row r="20" spans="2:6" hidden="1" x14ac:dyDescent="0.25">
      <c r="B20" s="5" t="s">
        <v>52</v>
      </c>
      <c r="D20" s="62">
        <f>IF('Base Capacity'!D18="Yes",('Base Capacity'!D21+'Base Capacity'!D24)*'Base Capacity'!D29*'Base Capacity'!D27*52*D11*D9,0)</f>
        <v>0</v>
      </c>
      <c r="E20" s="1" t="str">
        <f>+'Base Capacity'!D32</f>
        <v>GB</v>
      </c>
    </row>
    <row r="21" spans="2:6" hidden="1" x14ac:dyDescent="0.25">
      <c r="B21" s="5" t="s">
        <v>53</v>
      </c>
      <c r="D21" s="62">
        <f>IF('Base Capacity'!D18="Yes",('Base Capacity'!D21+(2*'Base Capacity'!D24))*'Base Capacity'!D29*'Base Capacity'!D27*52*D11*D9,0)</f>
        <v>0</v>
      </c>
      <c r="E21" s="1" t="str">
        <f>+'Base Capacity'!D32</f>
        <v>GB</v>
      </c>
    </row>
    <row r="22" spans="2:6" hidden="1" x14ac:dyDescent="0.25">
      <c r="B22" s="5" t="s">
        <v>54</v>
      </c>
      <c r="D22" s="62">
        <f>IF('Base Capacity'!D18="Yes",('Base Capacity'!D21+(3*'Base Capacity'!D24))*'Base Capacity'!D29*'Base Capacity'!D27*52*D11*D9,0)</f>
        <v>0</v>
      </c>
      <c r="E22" s="1" t="str">
        <f>+'Base Capacity'!D32</f>
        <v>GB</v>
      </c>
    </row>
    <row r="23" spans="2:6" hidden="1" x14ac:dyDescent="0.25">
      <c r="B23" s="5" t="s">
        <v>55</v>
      </c>
      <c r="D23" s="62">
        <f>IF('Base Capacity'!D18="Yes",('Base Capacity'!D21+(4*'Base Capacity'!D24))*'Base Capacity'!D29*'Base Capacity'!D27*52*D11*D9,0)</f>
        <v>0</v>
      </c>
      <c r="E23" s="1" t="str">
        <f>+'Base Capacity'!D32</f>
        <v>GB</v>
      </c>
    </row>
    <row r="24" spans="2:6" hidden="1" x14ac:dyDescent="0.25">
      <c r="B24" s="4" t="s">
        <v>233</v>
      </c>
      <c r="D24" s="63"/>
    </row>
    <row r="25" spans="2:6" x14ac:dyDescent="0.25">
      <c r="B25" s="5" t="s">
        <v>56</v>
      </c>
      <c r="D25" s="62" t="e">
        <f>+D13+D19</f>
        <v>#VALUE!</v>
      </c>
      <c r="E25" s="1" t="str">
        <f>+'Base Capacity'!D32</f>
        <v>GB</v>
      </c>
    </row>
    <row r="26" spans="2:6" x14ac:dyDescent="0.25">
      <c r="B26" s="5" t="s">
        <v>57</v>
      </c>
      <c r="D26" s="62" t="e">
        <f>+D14+D20</f>
        <v>#VALUE!</v>
      </c>
      <c r="E26" s="1" t="str">
        <f>+'Base Capacity'!D32</f>
        <v>GB</v>
      </c>
    </row>
    <row r="27" spans="2:6" x14ac:dyDescent="0.25">
      <c r="B27" s="5" t="s">
        <v>58</v>
      </c>
      <c r="D27" s="62" t="e">
        <f>+D15+D21</f>
        <v>#VALUE!</v>
      </c>
      <c r="E27" s="1" t="str">
        <f>+'Base Capacity'!D32</f>
        <v>GB</v>
      </c>
    </row>
    <row r="28" spans="2:6" x14ac:dyDescent="0.25">
      <c r="B28" s="5" t="s">
        <v>59</v>
      </c>
      <c r="D28" s="62" t="e">
        <f>+D16+D22</f>
        <v>#VALUE!</v>
      </c>
      <c r="E28" s="1" t="str">
        <f>+'Base Capacity'!D32</f>
        <v>GB</v>
      </c>
    </row>
    <row r="29" spans="2:6" x14ac:dyDescent="0.25">
      <c r="B29" s="5" t="s">
        <v>60</v>
      </c>
      <c r="D29" s="62" t="e">
        <f>+D17+D23</f>
        <v>#VALUE!</v>
      </c>
      <c r="E29" s="1" t="str">
        <f>+'Base Capacity'!D32</f>
        <v>GB</v>
      </c>
    </row>
    <row r="30" spans="2:6" x14ac:dyDescent="0.25">
      <c r="D30" s="63"/>
    </row>
    <row r="31" spans="2:6" x14ac:dyDescent="0.25">
      <c r="B31" s="3" t="s">
        <v>228</v>
      </c>
      <c r="C31" s="4"/>
      <c r="D31" s="64"/>
      <c r="E31" s="4"/>
      <c r="F31" s="3"/>
    </row>
    <row r="32" spans="2:6" s="31" customFormat="1" hidden="1" x14ac:dyDescent="0.25">
      <c r="B32" s="32" t="s">
        <v>61</v>
      </c>
      <c r="D32" s="65">
        <v>1.4</v>
      </c>
      <c r="E32" s="31" t="s">
        <v>43</v>
      </c>
      <c r="F32" s="32"/>
    </row>
    <row r="33" spans="2:6" s="31" customFormat="1" hidden="1" x14ac:dyDescent="0.25">
      <c r="B33" s="32" t="s">
        <v>44</v>
      </c>
      <c r="D33" s="65">
        <f>IF('Base Capacity'!D32="KB",+D32,IF('Base Capacity'!D32="MB",+D32/1024,IF('Base Capacity'!D32="GB",+D32/1024/1024,"ERR")))</f>
        <v>1.3351440429687499E-6</v>
      </c>
      <c r="E33" s="31" t="str">
        <f>+'Base Capacity'!D32</f>
        <v>GB</v>
      </c>
      <c r="F33" s="32" t="s">
        <v>41</v>
      </c>
    </row>
    <row r="34" spans="2:6" x14ac:dyDescent="0.25">
      <c r="B34" s="2" t="s">
        <v>62</v>
      </c>
      <c r="D34" s="62" t="e">
        <f>+'Base Capacity'!D7*'Base Capacity'!D15*'Base Capacity'!D13*52*D33</f>
        <v>#VALUE!</v>
      </c>
      <c r="E34" s="1" t="str">
        <f>+'Base Capacity'!D32</f>
        <v>GB</v>
      </c>
    </row>
    <row r="35" spans="2:6" x14ac:dyDescent="0.25">
      <c r="B35" s="2" t="s">
        <v>63</v>
      </c>
      <c r="D35" s="62" t="e">
        <f>+('Base Capacity'!D7+'Base Capacity'!D10 )*'Base Capacity'!D15*'Base Capacity'!D13*52*D33</f>
        <v>#VALUE!</v>
      </c>
      <c r="E35" s="1" t="str">
        <f>+'Base Capacity'!D32</f>
        <v>GB</v>
      </c>
    </row>
    <row r="36" spans="2:6" x14ac:dyDescent="0.25">
      <c r="B36" s="2" t="s">
        <v>64</v>
      </c>
      <c r="D36" s="62" t="e">
        <f>+('Base Capacity'!D7+(2*'Base Capacity'!D10) )*'Base Capacity'!D15*'Base Capacity'!D13*52*D33</f>
        <v>#VALUE!</v>
      </c>
      <c r="E36" s="1" t="str">
        <f>+'Base Capacity'!D32</f>
        <v>GB</v>
      </c>
    </row>
    <row r="37" spans="2:6" x14ac:dyDescent="0.25">
      <c r="B37" s="2" t="s">
        <v>65</v>
      </c>
      <c r="D37" s="62" t="e">
        <f>+('Base Capacity'!D7+(3*'Base Capacity'!D10) )*'Base Capacity'!D15*'Base Capacity'!D13*52*D33</f>
        <v>#VALUE!</v>
      </c>
      <c r="E37" s="1" t="str">
        <f>+'Base Capacity'!D32</f>
        <v>GB</v>
      </c>
    </row>
    <row r="38" spans="2:6" x14ac:dyDescent="0.25">
      <c r="B38" s="2" t="s">
        <v>66</v>
      </c>
      <c r="D38" s="62" t="e">
        <f>+('Base Capacity'!D7+(4*'Base Capacity'!D10) )*'Base Capacity'!D15*'Base Capacity'!D13*52*D33</f>
        <v>#VALUE!</v>
      </c>
      <c r="E38" s="1" t="str">
        <f>+'Base Capacity'!D32</f>
        <v>GB</v>
      </c>
    </row>
    <row r="39" spans="2:6" x14ac:dyDescent="0.25">
      <c r="D39" s="63"/>
    </row>
    <row r="40" spans="2:6" x14ac:dyDescent="0.25">
      <c r="B40" s="3" t="s">
        <v>229</v>
      </c>
      <c r="C40" s="4"/>
      <c r="D40" s="64"/>
      <c r="E40" s="4"/>
      <c r="F40" s="5"/>
    </row>
    <row r="41" spans="2:6" s="31" customFormat="1" hidden="1" x14ac:dyDescent="0.25">
      <c r="B41" s="32" t="s">
        <v>72</v>
      </c>
      <c r="D41" s="65">
        <v>1.6</v>
      </c>
      <c r="E41" s="31" t="s">
        <v>43</v>
      </c>
      <c r="F41" s="32"/>
    </row>
    <row r="42" spans="2:6" s="31" customFormat="1" hidden="1" x14ac:dyDescent="0.25">
      <c r="B42" s="32" t="s">
        <v>44</v>
      </c>
      <c r="D42" s="65">
        <f>IF('Base Capacity'!D32="KB",+D41,IF('Base Capacity'!D32="MB",+D41/1024,IF('Base Capacity'!D32="GB",+D41/1024/1024,"ERR")))</f>
        <v>1.5258789062500001E-6</v>
      </c>
      <c r="E42" s="31" t="str">
        <f>+'Base Capacity'!D32</f>
        <v>GB</v>
      </c>
      <c r="F42" s="32" t="s">
        <v>41</v>
      </c>
    </row>
    <row r="43" spans="2:6" x14ac:dyDescent="0.25">
      <c r="B43" s="2" t="s">
        <v>67</v>
      </c>
      <c r="D43" s="62" t="e">
        <f>+'Base Capacity'!D7*'Base Capacity'!D15*'Base Capacity'!D13*52*D42</f>
        <v>#VALUE!</v>
      </c>
      <c r="E43" s="1" t="str">
        <f>+'Base Capacity'!D32</f>
        <v>GB</v>
      </c>
    </row>
    <row r="44" spans="2:6" x14ac:dyDescent="0.25">
      <c r="B44" s="2" t="s">
        <v>68</v>
      </c>
      <c r="D44" s="62" t="e">
        <f>+('Base Capacity'!D7+'Base Capacity'!D10 )*'Base Capacity'!D15*'Base Capacity'!D13*52*D42</f>
        <v>#VALUE!</v>
      </c>
      <c r="E44" s="1" t="str">
        <f>+'Base Capacity'!D32</f>
        <v>GB</v>
      </c>
    </row>
    <row r="45" spans="2:6" x14ac:dyDescent="0.25">
      <c r="B45" s="2" t="s">
        <v>69</v>
      </c>
      <c r="D45" s="62" t="e">
        <f>+('Base Capacity'!D7+(2*'Base Capacity'!D10) )*'Base Capacity'!D15*'Base Capacity'!D13*52*D42</f>
        <v>#VALUE!</v>
      </c>
      <c r="E45" s="1" t="str">
        <f>+'Base Capacity'!D32</f>
        <v>GB</v>
      </c>
    </row>
    <row r="46" spans="2:6" x14ac:dyDescent="0.25">
      <c r="B46" s="2" t="s">
        <v>70</v>
      </c>
      <c r="D46" s="62" t="e">
        <f>+('Base Capacity'!D7+(3*'Base Capacity'!D10) )*'Base Capacity'!D15*'Base Capacity'!D13*52*D42</f>
        <v>#VALUE!</v>
      </c>
      <c r="E46" s="1" t="str">
        <f>+'Base Capacity'!D32</f>
        <v>GB</v>
      </c>
    </row>
    <row r="47" spans="2:6" x14ac:dyDescent="0.25">
      <c r="B47" s="2" t="s">
        <v>71</v>
      </c>
      <c r="D47" s="62" t="e">
        <f>+('Base Capacity'!D7+(4*'Base Capacity'!D10) )*'Base Capacity'!D15*'Base Capacity'!D13*52*D42</f>
        <v>#VALUE!</v>
      </c>
      <c r="E47" s="1" t="str">
        <f>+'Base Capacity'!D32</f>
        <v>GB</v>
      </c>
    </row>
    <row r="48" spans="2:6" x14ac:dyDescent="0.25">
      <c r="D48" s="66"/>
    </row>
    <row r="49" spans="2:5" x14ac:dyDescent="0.25">
      <c r="B49" s="4" t="s">
        <v>230</v>
      </c>
      <c r="D49" s="63"/>
    </row>
    <row r="50" spans="2:5" x14ac:dyDescent="0.25">
      <c r="B50" s="2" t="s">
        <v>74</v>
      </c>
      <c r="D50" s="62" t="e">
        <f>+D25+D34+D43</f>
        <v>#VALUE!</v>
      </c>
      <c r="E50" s="1" t="str">
        <f>+'Base Capacity'!D32</f>
        <v>GB</v>
      </c>
    </row>
    <row r="51" spans="2:5" x14ac:dyDescent="0.25">
      <c r="B51" s="2" t="s">
        <v>75</v>
      </c>
      <c r="D51" s="62" t="e">
        <f>+D26+D35+D44</f>
        <v>#VALUE!</v>
      </c>
      <c r="E51" s="1" t="str">
        <f>+'Base Capacity'!D32</f>
        <v>GB</v>
      </c>
    </row>
    <row r="52" spans="2:5" x14ac:dyDescent="0.25">
      <c r="B52" s="2" t="s">
        <v>76</v>
      </c>
      <c r="D52" s="62" t="e">
        <f>+D27+D36+D45</f>
        <v>#VALUE!</v>
      </c>
      <c r="E52" s="1" t="str">
        <f>+'Base Capacity'!D32</f>
        <v>GB</v>
      </c>
    </row>
    <row r="53" spans="2:5" x14ac:dyDescent="0.25">
      <c r="B53" s="2" t="s">
        <v>77</v>
      </c>
      <c r="D53" s="62" t="e">
        <f>+D28+D37+D46</f>
        <v>#VALUE!</v>
      </c>
      <c r="E53" s="1" t="str">
        <f>+'Base Capacity'!D32</f>
        <v>GB</v>
      </c>
    </row>
    <row r="54" spans="2:5" x14ac:dyDescent="0.25">
      <c r="B54" s="2" t="s">
        <v>78</v>
      </c>
      <c r="D54" s="62" t="e">
        <f>+D29+D38+D47</f>
        <v>#VALUE!</v>
      </c>
      <c r="E54" s="1" t="str">
        <f>+'Base Capacity'!D32</f>
        <v>GB</v>
      </c>
    </row>
    <row r="55" spans="2:5" x14ac:dyDescent="0.25"/>
    <row r="56" spans="2:5" ht="45" x14ac:dyDescent="0.25">
      <c r="B56" s="2" t="s">
        <v>283</v>
      </c>
    </row>
    <row r="57" spans="2:5" x14ac:dyDescent="0.25"/>
    <row r="58" spans="2:5" x14ac:dyDescent="0.25">
      <c r="B58" s="2" t="s">
        <v>284</v>
      </c>
    </row>
    <row r="59" spans="2:5" x14ac:dyDescent="0.25"/>
  </sheetData>
  <sheetProtection sheet="1" objects="1" scenarios="1"/>
  <pageMargins left="0.7" right="0.7" top="0.75" bottom="0.75" header="0.3" footer="0.3"/>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39" zoomScaleNormal="100" workbookViewId="0">
      <selection activeCell="A63" sqref="A63:XFD1048576"/>
    </sheetView>
  </sheetViews>
  <sheetFormatPr defaultColWidth="0" defaultRowHeight="15" zeroHeight="1" x14ac:dyDescent="0.25"/>
  <cols>
    <col min="1" max="1" width="3.5703125" style="14" customWidth="1"/>
    <col min="2" max="2" width="46.85546875" style="13" customWidth="1"/>
    <col min="3" max="3" width="1.7109375" style="14" customWidth="1"/>
    <col min="4" max="4" width="15.28515625" style="14" customWidth="1"/>
    <col min="5" max="5" width="6.5703125" style="14" customWidth="1"/>
    <col min="6" max="6" width="59.28515625" style="13" customWidth="1"/>
    <col min="7" max="7" width="8.85546875" style="14" customWidth="1"/>
    <col min="8" max="8" width="11" style="14" hidden="1" customWidth="1"/>
    <col min="9" max="16384" width="8.85546875" style="14" hidden="1"/>
  </cols>
  <sheetData>
    <row r="1" spans="1:7" ht="15.75" x14ac:dyDescent="0.25">
      <c r="A1" s="12" t="s">
        <v>79</v>
      </c>
    </row>
    <row r="2" spans="1:7" s="1" customFormat="1" ht="15.75" x14ac:dyDescent="0.25">
      <c r="A2" s="30" t="s">
        <v>196</v>
      </c>
      <c r="B2" s="2"/>
      <c r="F2" s="2"/>
    </row>
    <row r="3" spans="1:7" s="1" customFormat="1" x14ac:dyDescent="0.25">
      <c r="A3" s="6" t="s">
        <v>221</v>
      </c>
      <c r="B3" s="2"/>
      <c r="F3" s="2"/>
    </row>
    <row r="4" spans="1:7" s="1" customFormat="1" x14ac:dyDescent="0.25">
      <c r="A4" s="6"/>
      <c r="B4" s="2"/>
      <c r="F4" s="2"/>
    </row>
    <row r="5" spans="1:7" s="26" customFormat="1" x14ac:dyDescent="0.25">
      <c r="B5" s="27" t="s">
        <v>1</v>
      </c>
      <c r="C5" s="28"/>
      <c r="D5" s="28" t="s">
        <v>0</v>
      </c>
      <c r="E5" s="28"/>
      <c r="F5" s="29" t="s">
        <v>188</v>
      </c>
    </row>
    <row r="6" spans="1:7" ht="15.75" thickBot="1" x14ac:dyDescent="0.3">
      <c r="B6" s="15" t="s">
        <v>80</v>
      </c>
      <c r="C6" s="16"/>
      <c r="D6" s="16"/>
      <c r="E6" s="16"/>
      <c r="F6" s="15"/>
    </row>
    <row r="7" spans="1:7" s="24" customFormat="1" ht="15.75" thickBot="1" x14ac:dyDescent="0.3">
      <c r="B7" s="17" t="s">
        <v>253</v>
      </c>
      <c r="D7" s="40"/>
      <c r="F7" s="17"/>
    </row>
    <row r="8" spans="1:7" s="24" customFormat="1" ht="15.75" thickBot="1" x14ac:dyDescent="0.3">
      <c r="B8" s="17" t="s">
        <v>214</v>
      </c>
      <c r="D8" s="40"/>
      <c r="E8" s="24" t="s">
        <v>81</v>
      </c>
      <c r="F8" s="17"/>
    </row>
    <row r="9" spans="1:7" s="24" customFormat="1" ht="15.75" thickBot="1" x14ac:dyDescent="0.3">
      <c r="B9" s="17" t="s">
        <v>254</v>
      </c>
      <c r="D9" s="40"/>
      <c r="F9" s="17"/>
    </row>
    <row r="10" spans="1:7" s="24" customFormat="1" ht="15.75" thickBot="1" x14ac:dyDescent="0.3">
      <c r="B10" s="17" t="s">
        <v>215</v>
      </c>
      <c r="D10" s="40"/>
      <c r="E10" s="24" t="s">
        <v>81</v>
      </c>
      <c r="F10" s="17"/>
    </row>
    <row r="11" spans="1:7" s="24" customFormat="1" ht="15.75" thickBot="1" x14ac:dyDescent="0.3">
      <c r="B11" s="17" t="s">
        <v>255</v>
      </c>
      <c r="D11" s="40"/>
      <c r="F11" s="17"/>
    </row>
    <row r="12" spans="1:7" s="24" customFormat="1" x14ac:dyDescent="0.25">
      <c r="B12" s="17"/>
      <c r="D12" s="41"/>
      <c r="F12" s="17"/>
    </row>
    <row r="13" spans="1:7" x14ac:dyDescent="0.25">
      <c r="B13" s="15" t="s">
        <v>87</v>
      </c>
      <c r="C13" s="16"/>
      <c r="D13" s="42"/>
      <c r="E13" s="16"/>
      <c r="F13" s="15"/>
    </row>
    <row r="14" spans="1:7" hidden="1" x14ac:dyDescent="0.25">
      <c r="B14" s="13" t="s">
        <v>82</v>
      </c>
      <c r="D14" s="67" t="e">
        <f>((+'Disk Capacity'!D25+'Disk Capacity'!D34)*'Base Capacity'!D39)+'Disk Capacity'!D43</f>
        <v>#VALUE!</v>
      </c>
      <c r="E14" s="14" t="str">
        <f>'Base Capacity'!$D$32</f>
        <v>GB</v>
      </c>
      <c r="G14" s="13"/>
    </row>
    <row r="15" spans="1:7" hidden="1" x14ac:dyDescent="0.25">
      <c r="B15" s="13" t="s">
        <v>83</v>
      </c>
      <c r="D15" s="67" t="e">
        <f>((+'Disk Capacity'!D26+'Disk Capacity'!D35)*'Base Capacity'!D39)+'Disk Capacity'!D44</f>
        <v>#VALUE!</v>
      </c>
      <c r="E15" s="14" t="str">
        <f>'Base Capacity'!$D$32</f>
        <v>GB</v>
      </c>
    </row>
    <row r="16" spans="1:7" hidden="1" x14ac:dyDescent="0.25">
      <c r="B16" s="13" t="s">
        <v>84</v>
      </c>
      <c r="D16" s="67" t="e">
        <f>((+'Disk Capacity'!D27+'Disk Capacity'!D36)*'Base Capacity'!D39)+'Disk Capacity'!D45</f>
        <v>#VALUE!</v>
      </c>
      <c r="E16" s="14" t="str">
        <f>'Base Capacity'!$D$32</f>
        <v>GB</v>
      </c>
    </row>
    <row r="17" spans="2:5" hidden="1" x14ac:dyDescent="0.25">
      <c r="B17" s="13" t="s">
        <v>85</v>
      </c>
      <c r="D17" s="67" t="e">
        <f>((+'Disk Capacity'!D28+'Disk Capacity'!D37)*'Base Capacity'!D39)+'Disk Capacity'!D46</f>
        <v>#VALUE!</v>
      </c>
      <c r="E17" s="14" t="str">
        <f>'Base Capacity'!$D$32</f>
        <v>GB</v>
      </c>
    </row>
    <row r="18" spans="2:5" hidden="1" x14ac:dyDescent="0.25">
      <c r="B18" s="17" t="s">
        <v>86</v>
      </c>
      <c r="D18" s="67" t="e">
        <f>((+'Disk Capacity'!D29+'Disk Capacity'!D38)*'Base Capacity'!D39)+'Disk Capacity'!D47</f>
        <v>#VALUE!</v>
      </c>
      <c r="E18" s="14" t="str">
        <f>'Base Capacity'!$D$32</f>
        <v>GB</v>
      </c>
    </row>
    <row r="19" spans="2:5" hidden="1" x14ac:dyDescent="0.25">
      <c r="B19" s="16"/>
      <c r="D19" s="68"/>
    </row>
    <row r="20" spans="2:5" x14ac:dyDescent="0.25">
      <c r="B20" s="13" t="s">
        <v>256</v>
      </c>
      <c r="D20" s="69" t="e">
        <f>+D14*D7</f>
        <v>#VALUE!</v>
      </c>
      <c r="E20" s="14" t="str">
        <f>'Base Capacity'!$D$32</f>
        <v>GB</v>
      </c>
    </row>
    <row r="21" spans="2:5" x14ac:dyDescent="0.25">
      <c r="B21" s="13" t="s">
        <v>257</v>
      </c>
      <c r="D21" s="69" t="e">
        <f>+D15*D7</f>
        <v>#VALUE!</v>
      </c>
      <c r="E21" s="14" t="str">
        <f>'Base Capacity'!$D$32</f>
        <v>GB</v>
      </c>
    </row>
    <row r="22" spans="2:5" x14ac:dyDescent="0.25">
      <c r="B22" s="13" t="s">
        <v>258</v>
      </c>
      <c r="D22" s="69" t="e">
        <f>+D16*D7</f>
        <v>#VALUE!</v>
      </c>
      <c r="E22" s="14" t="str">
        <f>'Base Capacity'!$D$32</f>
        <v>GB</v>
      </c>
    </row>
    <row r="23" spans="2:5" x14ac:dyDescent="0.25">
      <c r="B23" s="13" t="s">
        <v>259</v>
      </c>
      <c r="D23" s="69" t="e">
        <f>+D17*D7</f>
        <v>#VALUE!</v>
      </c>
      <c r="E23" s="14" t="str">
        <f>'Base Capacity'!$D$32</f>
        <v>GB</v>
      </c>
    </row>
    <row r="24" spans="2:5" x14ac:dyDescent="0.25">
      <c r="B24" s="13" t="s">
        <v>260</v>
      </c>
      <c r="D24" s="69" t="e">
        <f>+D18*D7</f>
        <v>#VALUE!</v>
      </c>
      <c r="E24" s="14" t="str">
        <f>'Base Capacity'!$D$32</f>
        <v>GB</v>
      </c>
    </row>
    <row r="25" spans="2:5" x14ac:dyDescent="0.25">
      <c r="D25" s="68"/>
    </row>
    <row r="26" spans="2:5" x14ac:dyDescent="0.25">
      <c r="B26" s="16" t="s">
        <v>93</v>
      </c>
      <c r="D26" s="68"/>
    </row>
    <row r="27" spans="2:5" hidden="1" x14ac:dyDescent="0.25">
      <c r="B27" s="13" t="s">
        <v>88</v>
      </c>
      <c r="D27" s="69" t="e">
        <f>+((('Disk Capacity'!D25+'Disk Capacity'!D34)*'Base Capacity'!D39)+'Disk Capacity'!D43)*D10/('Base Capacity'!D13*52)</f>
        <v>#VALUE!</v>
      </c>
      <c r="E27" s="14" t="str">
        <f>'Base Capacity'!$D$32</f>
        <v>GB</v>
      </c>
    </row>
    <row r="28" spans="2:5" hidden="1" x14ac:dyDescent="0.25">
      <c r="B28" s="13" t="s">
        <v>89</v>
      </c>
      <c r="D28" s="69" t="e">
        <f>+((('Disk Capacity'!D26+'Disk Capacity'!D35)*'Base Capacity'!D39)+'Disk Capacity'!D44)*D10/('Base Capacity'!D13*52)</f>
        <v>#VALUE!</v>
      </c>
      <c r="E28" s="14" t="str">
        <f>'Base Capacity'!$D$32</f>
        <v>GB</v>
      </c>
    </row>
    <row r="29" spans="2:5" hidden="1" x14ac:dyDescent="0.25">
      <c r="B29" s="13" t="s">
        <v>90</v>
      </c>
      <c r="D29" s="69" t="e">
        <f>+((('Disk Capacity'!D27+'Disk Capacity'!D36)*'Base Capacity'!D39)+'Disk Capacity'!D45)*D10/('Base Capacity'!D13*52)</f>
        <v>#VALUE!</v>
      </c>
      <c r="E29" s="14" t="str">
        <f>'Base Capacity'!$D$32</f>
        <v>GB</v>
      </c>
    </row>
    <row r="30" spans="2:5" hidden="1" x14ac:dyDescent="0.25">
      <c r="B30" s="13" t="s">
        <v>91</v>
      </c>
      <c r="D30" s="69" t="e">
        <f>+((('Disk Capacity'!D28+'Disk Capacity'!D37)*'Base Capacity'!D39)+'Disk Capacity'!D46)*D10/('Base Capacity'!D13*52)</f>
        <v>#VALUE!</v>
      </c>
      <c r="E30" s="14" t="str">
        <f>'Base Capacity'!$D$32</f>
        <v>GB</v>
      </c>
    </row>
    <row r="31" spans="2:5" hidden="1" x14ac:dyDescent="0.25">
      <c r="B31" s="17" t="s">
        <v>92</v>
      </c>
      <c r="D31" s="69" t="e">
        <f>+((('Disk Capacity'!D29+'Disk Capacity'!D38)*'Base Capacity'!D39)+'Disk Capacity'!D47)*D10/('Base Capacity'!D13*52)</f>
        <v>#VALUE!</v>
      </c>
      <c r="E31" s="14" t="str">
        <f>'Base Capacity'!$D$32</f>
        <v>GB</v>
      </c>
    </row>
    <row r="32" spans="2:5" hidden="1" x14ac:dyDescent="0.25">
      <c r="B32" s="16"/>
      <c r="D32" s="68"/>
    </row>
    <row r="33" spans="2:6" x14ac:dyDescent="0.25">
      <c r="B33" s="13" t="s">
        <v>261</v>
      </c>
      <c r="D33" s="69" t="e">
        <f>+D27*D9</f>
        <v>#VALUE!</v>
      </c>
      <c r="E33" s="14" t="str">
        <f>'Base Capacity'!$D$32</f>
        <v>GB</v>
      </c>
    </row>
    <row r="34" spans="2:6" x14ac:dyDescent="0.25">
      <c r="B34" s="13" t="s">
        <v>262</v>
      </c>
      <c r="D34" s="69" t="e">
        <f>+D28*D9</f>
        <v>#VALUE!</v>
      </c>
      <c r="E34" s="14" t="str">
        <f>'Base Capacity'!$D$32</f>
        <v>GB</v>
      </c>
    </row>
    <row r="35" spans="2:6" x14ac:dyDescent="0.25">
      <c r="B35" s="13" t="s">
        <v>263</v>
      </c>
      <c r="D35" s="69" t="e">
        <f>+D29*D9</f>
        <v>#VALUE!</v>
      </c>
      <c r="E35" s="14" t="str">
        <f>'Base Capacity'!$D$32</f>
        <v>GB</v>
      </c>
    </row>
    <row r="36" spans="2:6" x14ac:dyDescent="0.25">
      <c r="B36" s="13" t="s">
        <v>264</v>
      </c>
      <c r="D36" s="69" t="e">
        <f>+D30*D9</f>
        <v>#VALUE!</v>
      </c>
      <c r="E36" s="14" t="str">
        <f>'Base Capacity'!$D$32</f>
        <v>GB</v>
      </c>
    </row>
    <row r="37" spans="2:6" x14ac:dyDescent="0.25">
      <c r="B37" s="13" t="s">
        <v>265</v>
      </c>
      <c r="D37" s="69" t="e">
        <f>+D31*D9</f>
        <v>#VALUE!</v>
      </c>
      <c r="E37" s="14" t="str">
        <f>'Base Capacity'!$D$32</f>
        <v>GB</v>
      </c>
    </row>
    <row r="38" spans="2:6" x14ac:dyDescent="0.25">
      <c r="B38" s="17"/>
      <c r="D38" s="68"/>
    </row>
    <row r="39" spans="2:6" x14ac:dyDescent="0.25">
      <c r="B39" s="16" t="s">
        <v>94</v>
      </c>
      <c r="D39" s="68"/>
    </row>
    <row r="40" spans="2:6" hidden="1" x14ac:dyDescent="0.25">
      <c r="B40" s="13" t="s">
        <v>216</v>
      </c>
      <c r="D40" s="69" t="e">
        <f>+((('Disk Capacity'!D25+'Disk Capacity'!D34)*'Base Capacity'!D39)+'Disk Capacity'!D43)*'Backup Capacity'!D8/('Base Capacity'!D13*52)</f>
        <v>#VALUE!</v>
      </c>
      <c r="E40" s="14" t="str">
        <f>'Base Capacity'!$D$32</f>
        <v>GB</v>
      </c>
    </row>
    <row r="41" spans="2:6" s="24" customFormat="1" hidden="1" x14ac:dyDescent="0.25">
      <c r="B41" s="13" t="s">
        <v>217</v>
      </c>
      <c r="D41" s="69" t="e">
        <f>+((('Disk Capacity'!D26+'Disk Capacity'!D35)*'Base Capacity'!D39)+'Disk Capacity'!D44)*'Backup Capacity'!D8/('Base Capacity'!D13*52)</f>
        <v>#VALUE!</v>
      </c>
      <c r="E41" s="14" t="str">
        <f>'Base Capacity'!$D$32</f>
        <v>GB</v>
      </c>
      <c r="F41" s="13"/>
    </row>
    <row r="42" spans="2:6" hidden="1" x14ac:dyDescent="0.25">
      <c r="B42" s="13" t="s">
        <v>218</v>
      </c>
      <c r="D42" s="69" t="e">
        <f>+((('Disk Capacity'!D27+'Disk Capacity'!D36)*'Base Capacity'!D39)+'Disk Capacity'!D45)*'Backup Capacity'!D8/('Base Capacity'!D13*52)</f>
        <v>#VALUE!</v>
      </c>
      <c r="E42" s="14" t="str">
        <f>'Base Capacity'!$D$32</f>
        <v>GB</v>
      </c>
    </row>
    <row r="43" spans="2:6" hidden="1" x14ac:dyDescent="0.25">
      <c r="B43" s="13" t="s">
        <v>219</v>
      </c>
      <c r="D43" s="69" t="e">
        <f>+((('Disk Capacity'!D28+'Disk Capacity'!D37)*'Base Capacity'!D39)+'Disk Capacity'!D46)*'Backup Capacity'!D8/('Base Capacity'!D13*52)</f>
        <v>#VALUE!</v>
      </c>
      <c r="E43" s="14" t="str">
        <f>'Base Capacity'!$D$32</f>
        <v>GB</v>
      </c>
    </row>
    <row r="44" spans="2:6" hidden="1" x14ac:dyDescent="0.25">
      <c r="B44" s="13" t="s">
        <v>220</v>
      </c>
      <c r="D44" s="69" t="e">
        <f>+((('Disk Capacity'!D29+'Disk Capacity'!D38)*'Base Capacity'!D39)+'Disk Capacity'!D47)*'Backup Capacity'!D8/('Base Capacity'!D13*52)</f>
        <v>#VALUE!</v>
      </c>
      <c r="E44" s="14" t="str">
        <f>'Base Capacity'!$D$32</f>
        <v>GB</v>
      </c>
    </row>
    <row r="45" spans="2:6" hidden="1" x14ac:dyDescent="0.25">
      <c r="B45" s="16"/>
      <c r="D45" s="68"/>
    </row>
    <row r="46" spans="2:6" x14ac:dyDescent="0.25">
      <c r="B46" s="13" t="s">
        <v>266</v>
      </c>
      <c r="D46" s="69" t="e">
        <f>+D40*D11</f>
        <v>#VALUE!</v>
      </c>
      <c r="E46" s="14" t="str">
        <f>'Base Capacity'!$D$32</f>
        <v>GB</v>
      </c>
    </row>
    <row r="47" spans="2:6" x14ac:dyDescent="0.25">
      <c r="B47" s="13" t="s">
        <v>270</v>
      </c>
      <c r="D47" s="69" t="e">
        <f>+D41*D11</f>
        <v>#VALUE!</v>
      </c>
      <c r="E47" s="14" t="str">
        <f>'Base Capacity'!$D$32</f>
        <v>GB</v>
      </c>
    </row>
    <row r="48" spans="2:6" x14ac:dyDescent="0.25">
      <c r="B48" s="13" t="s">
        <v>267</v>
      </c>
      <c r="D48" s="69" t="e">
        <f>+D42*D11</f>
        <v>#VALUE!</v>
      </c>
      <c r="E48" s="14" t="str">
        <f>'Base Capacity'!$D$32</f>
        <v>GB</v>
      </c>
    </row>
    <row r="49" spans="2:6" x14ac:dyDescent="0.25">
      <c r="B49" s="13" t="s">
        <v>268</v>
      </c>
      <c r="D49" s="69" t="e">
        <f>+D43*D11</f>
        <v>#VALUE!</v>
      </c>
      <c r="E49" s="14" t="str">
        <f>'Base Capacity'!$D$32</f>
        <v>GB</v>
      </c>
    </row>
    <row r="50" spans="2:6" x14ac:dyDescent="0.25">
      <c r="B50" s="13" t="s">
        <v>269</v>
      </c>
      <c r="D50" s="69" t="e">
        <f>+D44*D11</f>
        <v>#VALUE!</v>
      </c>
      <c r="E50" s="14" t="str">
        <f>'Base Capacity'!$D$32</f>
        <v>GB</v>
      </c>
    </row>
    <row r="51" spans="2:6" x14ac:dyDescent="0.25">
      <c r="D51" s="68"/>
    </row>
    <row r="52" spans="2:6" x14ac:dyDescent="0.25">
      <c r="B52" s="15" t="s">
        <v>250</v>
      </c>
      <c r="C52" s="16"/>
      <c r="D52" s="70"/>
      <c r="E52" s="16"/>
      <c r="F52" s="15"/>
    </row>
    <row r="53" spans="2:6" x14ac:dyDescent="0.25">
      <c r="B53" s="13" t="s">
        <v>271</v>
      </c>
      <c r="D53" s="69" t="e">
        <f>+D20+D33+D46</f>
        <v>#VALUE!</v>
      </c>
      <c r="E53" s="14" t="str">
        <f>'Base Capacity'!$D$32</f>
        <v>GB</v>
      </c>
    </row>
    <row r="54" spans="2:6" x14ac:dyDescent="0.25">
      <c r="B54" s="13" t="s">
        <v>272</v>
      </c>
      <c r="D54" s="69" t="e">
        <f t="shared" ref="D54:D57" si="0">+D21+D34+D47</f>
        <v>#VALUE!</v>
      </c>
      <c r="E54" s="14" t="str">
        <f>'Base Capacity'!$D$32</f>
        <v>GB</v>
      </c>
    </row>
    <row r="55" spans="2:6" x14ac:dyDescent="0.25">
      <c r="B55" s="13" t="s">
        <v>273</v>
      </c>
      <c r="D55" s="69" t="e">
        <f t="shared" si="0"/>
        <v>#VALUE!</v>
      </c>
      <c r="E55" s="14" t="str">
        <f>'Base Capacity'!$D$32</f>
        <v>GB</v>
      </c>
    </row>
    <row r="56" spans="2:6" x14ac:dyDescent="0.25">
      <c r="B56" s="13" t="s">
        <v>274</v>
      </c>
      <c r="D56" s="69" t="e">
        <f t="shared" si="0"/>
        <v>#VALUE!</v>
      </c>
      <c r="E56" s="14" t="str">
        <f>'Base Capacity'!$D$32</f>
        <v>GB</v>
      </c>
    </row>
    <row r="57" spans="2:6" x14ac:dyDescent="0.25">
      <c r="B57" s="13" t="s">
        <v>275</v>
      </c>
      <c r="D57" s="69" t="e">
        <f t="shared" si="0"/>
        <v>#VALUE!</v>
      </c>
      <c r="E57" s="14" t="str">
        <f>'Base Capacity'!$D$32</f>
        <v>GB</v>
      </c>
    </row>
    <row r="58" spans="2:6" x14ac:dyDescent="0.25">
      <c r="D58" s="68"/>
    </row>
    <row r="59" spans="2:6" ht="45" x14ac:dyDescent="0.25">
      <c r="B59" s="13" t="s">
        <v>285</v>
      </c>
    </row>
    <row r="60" spans="2:6" x14ac:dyDescent="0.25"/>
    <row r="61" spans="2:6" x14ac:dyDescent="0.25">
      <c r="B61" s="2" t="s">
        <v>284</v>
      </c>
    </row>
    <row r="62" spans="2:6" x14ac:dyDescent="0.25"/>
    <row r="63" spans="2:6" hidden="1" x14ac:dyDescent="0.25">
      <c r="B63" s="16"/>
    </row>
  </sheetData>
  <sheetProtection sheet="1" objects="1" scenarios="1"/>
  <pageMargins left="0.7" right="0.7" top="0.75" bottom="0.75" header="0.3" footer="0.3"/>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10" zoomScaleNormal="100" workbookViewId="0"/>
  </sheetViews>
  <sheetFormatPr defaultColWidth="0" defaultRowHeight="15" zeroHeight="1" x14ac:dyDescent="0.25"/>
  <cols>
    <col min="1" max="1" width="3.140625" style="1" customWidth="1"/>
    <col min="2" max="2" width="68.85546875" style="2" customWidth="1"/>
    <col min="3" max="3" width="1.7109375" style="1" customWidth="1"/>
    <col min="4" max="4" width="15.28515625" style="1" customWidth="1"/>
    <col min="5" max="5" width="71.28515625" style="2" customWidth="1"/>
    <col min="6" max="6" width="8.85546875" style="1" customWidth="1"/>
    <col min="7" max="16384" width="8.85546875" style="1" hidden="1"/>
  </cols>
  <sheetData>
    <row r="1" spans="1:6" ht="15.75" x14ac:dyDescent="0.25">
      <c r="A1" s="7" t="s">
        <v>173</v>
      </c>
    </row>
    <row r="2" spans="1:6" ht="15.75" x14ac:dyDescent="0.25">
      <c r="A2" s="30" t="s">
        <v>197</v>
      </c>
      <c r="E2" s="1"/>
      <c r="F2" s="2"/>
    </row>
    <row r="3" spans="1:6" ht="15.75" x14ac:dyDescent="0.25">
      <c r="A3" s="30"/>
      <c r="E3" s="1"/>
      <c r="F3" s="2"/>
    </row>
    <row r="4" spans="1:6" x14ac:dyDescent="0.25">
      <c r="B4" s="3" t="s">
        <v>1</v>
      </c>
      <c r="C4" s="4"/>
      <c r="D4" s="4" t="s">
        <v>0</v>
      </c>
      <c r="E4" s="29" t="s">
        <v>188</v>
      </c>
    </row>
    <row r="5" spans="1:6" x14ac:dyDescent="0.25">
      <c r="B5" s="3"/>
      <c r="C5" s="4"/>
      <c r="D5" s="4"/>
      <c r="E5" s="29"/>
    </row>
    <row r="6" spans="1:6" ht="15.75" thickBot="1" x14ac:dyDescent="0.3">
      <c r="B6" s="3" t="s">
        <v>14</v>
      </c>
      <c r="C6" s="4"/>
      <c r="D6" s="4"/>
      <c r="E6" s="3"/>
    </row>
    <row r="7" spans="1:6" ht="30.75" thickBot="1" x14ac:dyDescent="0.3">
      <c r="B7" s="2" t="s">
        <v>185</v>
      </c>
      <c r="D7" s="39"/>
    </row>
    <row r="8" spans="1:6" x14ac:dyDescent="0.25">
      <c r="B8" s="2" t="s">
        <v>278</v>
      </c>
      <c r="D8" s="57" t="e">
        <f>'Base Capacity'!D7/D7</f>
        <v>#DIV/0!</v>
      </c>
    </row>
    <row r="9" spans="1:6" x14ac:dyDescent="0.25">
      <c r="B9" s="2" t="s">
        <v>235</v>
      </c>
      <c r="D9" s="57" t="e">
        <f>('Base Capacity'!D7+'Base Capacity'!D10)/D7</f>
        <v>#DIV/0!</v>
      </c>
    </row>
    <row r="10" spans="1:6" x14ac:dyDescent="0.25">
      <c r="B10" s="2" t="s">
        <v>236</v>
      </c>
      <c r="D10" s="57" t="e">
        <f>('Base Capacity'!D7+(2*'Base Capacity'!D10))/D7</f>
        <v>#DIV/0!</v>
      </c>
    </row>
    <row r="11" spans="1:6" x14ac:dyDescent="0.25">
      <c r="B11" s="2" t="s">
        <v>237</v>
      </c>
      <c r="D11" s="57" t="e">
        <f>('Base Capacity'!D7+(3*'Base Capacity'!D10))/D7</f>
        <v>#DIV/0!</v>
      </c>
    </row>
    <row r="12" spans="1:6" x14ac:dyDescent="0.25">
      <c r="B12" s="2" t="s">
        <v>238</v>
      </c>
      <c r="D12" s="57" t="e">
        <f>('Base Capacity'!D7+(4*'Base Capacity'!D10))/D7</f>
        <v>#DIV/0!</v>
      </c>
    </row>
    <row r="13" spans="1:6" ht="15.75" thickBot="1" x14ac:dyDescent="0.3">
      <c r="D13" s="61"/>
    </row>
    <row r="14" spans="1:6" ht="15.75" customHeight="1" thickBot="1" x14ac:dyDescent="0.3">
      <c r="B14" s="2" t="s">
        <v>186</v>
      </c>
      <c r="D14" s="45"/>
    </row>
    <row r="15" spans="1:6" x14ac:dyDescent="0.25">
      <c r="B15" s="2" t="s">
        <v>279</v>
      </c>
      <c r="D15" s="57" t="e">
        <f>'Base Capacity'!D7/D14</f>
        <v>#DIV/0!</v>
      </c>
    </row>
    <row r="16" spans="1:6" x14ac:dyDescent="0.25">
      <c r="B16" s="2" t="s">
        <v>239</v>
      </c>
      <c r="D16" s="57" t="e">
        <f>('Base Capacity'!D7+'Base Capacity'!D10)/D14</f>
        <v>#DIV/0!</v>
      </c>
    </row>
    <row r="17" spans="2:4" x14ac:dyDescent="0.25">
      <c r="B17" s="2" t="s">
        <v>240</v>
      </c>
      <c r="D17" s="57" t="e">
        <f>('Base Capacity'!D7+(2*'Base Capacity'!D10))/D14</f>
        <v>#DIV/0!</v>
      </c>
    </row>
    <row r="18" spans="2:4" x14ac:dyDescent="0.25">
      <c r="B18" s="2" t="s">
        <v>241</v>
      </c>
      <c r="D18" s="57" t="e">
        <f>('Base Capacity'!D7+(3*'Base Capacity'!D10))/D14</f>
        <v>#DIV/0!</v>
      </c>
    </row>
    <row r="19" spans="2:4" x14ac:dyDescent="0.25">
      <c r="B19" s="2" t="s">
        <v>242</v>
      </c>
      <c r="D19" s="57" t="e">
        <f>('Base Capacity'!D7+(4*'Base Capacity'!D10))/D14</f>
        <v>#DIV/0!</v>
      </c>
    </row>
    <row r="20" spans="2:4" x14ac:dyDescent="0.25"/>
    <row r="21" spans="2:4" ht="75" x14ac:dyDescent="0.25">
      <c r="B21" s="2" t="s">
        <v>289</v>
      </c>
    </row>
    <row r="22" spans="2:4" x14ac:dyDescent="0.25"/>
    <row r="23" spans="2:4" x14ac:dyDescent="0.25">
      <c r="B23" s="2" t="s">
        <v>284</v>
      </c>
    </row>
    <row r="24" spans="2:4" x14ac:dyDescent="0.25"/>
    <row r="25" spans="2:4" hidden="1" x14ac:dyDescent="0.25">
      <c r="B25" s="3"/>
    </row>
    <row r="26" spans="2:4" hidden="1" x14ac:dyDescent="0.25">
      <c r="B26" s="5"/>
    </row>
  </sheetData>
  <sheetProtection sheet="1" objects="1" scenarios="1"/>
  <pageMargins left="0.7" right="0.7" top="0.75" bottom="0.75" header="0.3" footer="0.3"/>
  <pageSetup scale="5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13" zoomScaleNormal="100" workbookViewId="0">
      <selection activeCell="A30" sqref="A30:XFD1048576"/>
    </sheetView>
  </sheetViews>
  <sheetFormatPr defaultColWidth="0" defaultRowHeight="15" zeroHeight="1" x14ac:dyDescent="0.25"/>
  <cols>
    <col min="1" max="1" width="3.5703125" style="1" customWidth="1"/>
    <col min="2" max="2" width="67" style="2" customWidth="1"/>
    <col min="3" max="3" width="1.7109375" style="1" customWidth="1"/>
    <col min="4" max="4" width="11.85546875" style="1" customWidth="1"/>
    <col min="5" max="5" width="90.42578125" style="2" customWidth="1"/>
    <col min="6" max="6" width="8.85546875" style="1" customWidth="1"/>
    <col min="7" max="16384" width="8.85546875" style="1" hidden="1"/>
  </cols>
  <sheetData>
    <row r="1" spans="1:5" ht="15.75" x14ac:dyDescent="0.25">
      <c r="A1" s="7" t="s">
        <v>38</v>
      </c>
    </row>
    <row r="2" spans="1:5" ht="15.75" x14ac:dyDescent="0.25">
      <c r="A2" s="30" t="s">
        <v>198</v>
      </c>
    </row>
    <row r="3" spans="1:5" ht="15.75" x14ac:dyDescent="0.25">
      <c r="A3" s="30"/>
    </row>
    <row r="4" spans="1:5" x14ac:dyDescent="0.25">
      <c r="B4" s="3" t="s">
        <v>1</v>
      </c>
      <c r="C4" s="4"/>
      <c r="D4" s="4" t="s">
        <v>0</v>
      </c>
      <c r="E4" s="3" t="s">
        <v>6</v>
      </c>
    </row>
    <row r="5" spans="1:5" ht="15.75" thickBot="1" x14ac:dyDescent="0.3">
      <c r="B5" s="3" t="s">
        <v>22</v>
      </c>
      <c r="C5" s="4"/>
      <c r="D5" s="4"/>
      <c r="E5" s="3"/>
    </row>
    <row r="6" spans="1:5" ht="30.75" thickBot="1" x14ac:dyDescent="0.3">
      <c r="B6" s="2" t="s">
        <v>24</v>
      </c>
      <c r="D6" s="39"/>
      <c r="E6" s="2" t="s">
        <v>23</v>
      </c>
    </row>
    <row r="7" spans="1:5" x14ac:dyDescent="0.25">
      <c r="B7" s="2" t="s">
        <v>27</v>
      </c>
      <c r="D7" s="55">
        <f>+'EPCS Credentialing Roles'!D14</f>
        <v>0</v>
      </c>
    </row>
    <row r="8" spans="1:5" x14ac:dyDescent="0.25">
      <c r="D8" s="43"/>
    </row>
    <row r="9" spans="1:5" x14ac:dyDescent="0.25">
      <c r="B9" s="3" t="s">
        <v>25</v>
      </c>
      <c r="D9" s="43"/>
    </row>
    <row r="10" spans="1:5" x14ac:dyDescent="0.25">
      <c r="B10" s="2" t="s">
        <v>26</v>
      </c>
      <c r="D10" s="50">
        <f>+'Base Capacity'!D7-'Cryptographic Tokens'!D6</f>
        <v>0</v>
      </c>
    </row>
    <row r="11" spans="1:5" ht="45" x14ac:dyDescent="0.25">
      <c r="B11" s="2" t="s">
        <v>222</v>
      </c>
      <c r="D11" s="50">
        <f>+'Base Capacity'!D8</f>
        <v>0</v>
      </c>
      <c r="E11" s="2" t="s">
        <v>28</v>
      </c>
    </row>
    <row r="12" spans="1:5" x14ac:dyDescent="0.25">
      <c r="D12" s="43"/>
    </row>
    <row r="13" spans="1:5" ht="15.75" thickBot="1" x14ac:dyDescent="0.3">
      <c r="B13" s="3" t="s">
        <v>29</v>
      </c>
      <c r="D13" s="43"/>
    </row>
    <row r="14" spans="1:5" ht="30.75" thickBot="1" x14ac:dyDescent="0.3">
      <c r="B14" s="2" t="s">
        <v>200</v>
      </c>
      <c r="D14" s="39"/>
      <c r="E14" s="2" t="s">
        <v>234</v>
      </c>
    </row>
    <row r="15" spans="1:5" x14ac:dyDescent="0.25">
      <c r="B15" s="2" t="s">
        <v>223</v>
      </c>
      <c r="D15" s="57">
        <f>+D11*0.05</f>
        <v>0</v>
      </c>
    </row>
    <row r="16" spans="1:5" x14ac:dyDescent="0.25">
      <c r="B16" s="2" t="s">
        <v>224</v>
      </c>
      <c r="D16" s="57">
        <f>IF(D14="",D15,D14)</f>
        <v>0</v>
      </c>
      <c r="E16" s="2" t="s">
        <v>30</v>
      </c>
    </row>
    <row r="17" spans="2:5" x14ac:dyDescent="0.25">
      <c r="D17" s="43"/>
    </row>
    <row r="18" spans="2:5" ht="15.75" thickBot="1" x14ac:dyDescent="0.3">
      <c r="B18" s="3" t="s">
        <v>31</v>
      </c>
      <c r="D18" s="43"/>
    </row>
    <row r="19" spans="2:5" ht="15.75" thickBot="1" x14ac:dyDescent="0.3">
      <c r="B19" s="2" t="s">
        <v>201</v>
      </c>
      <c r="D19" s="39"/>
      <c r="E19" s="2" t="s">
        <v>280</v>
      </c>
    </row>
    <row r="20" spans="2:5" x14ac:dyDescent="0.25">
      <c r="B20" s="2" t="s">
        <v>32</v>
      </c>
      <c r="D20" s="55">
        <v>0</v>
      </c>
      <c r="E20" s="2" t="s">
        <v>33</v>
      </c>
    </row>
    <row r="21" spans="2:5" x14ac:dyDescent="0.25">
      <c r="B21" s="2" t="s">
        <v>34</v>
      </c>
      <c r="D21" s="55">
        <f>IF(D19=1,D10,0)</f>
        <v>0</v>
      </c>
    </row>
    <row r="22" spans="2:5" x14ac:dyDescent="0.25">
      <c r="B22" s="2" t="s">
        <v>35</v>
      </c>
      <c r="D22" s="55">
        <f>IF(D19=1,D10+D11,D10)</f>
        <v>0</v>
      </c>
    </row>
    <row r="23" spans="2:5" x14ac:dyDescent="0.25">
      <c r="B23" s="2" t="s">
        <v>36</v>
      </c>
      <c r="D23" s="55">
        <f>IF(D19=1,D10+(2*D11),D11)</f>
        <v>0</v>
      </c>
    </row>
    <row r="24" spans="2:5" x14ac:dyDescent="0.25">
      <c r="B24" s="2" t="s">
        <v>37</v>
      </c>
      <c r="D24" s="55">
        <f>IF(D19=1,D10+(3*D11),D10+D11)</f>
        <v>0</v>
      </c>
    </row>
    <row r="25" spans="2:5" x14ac:dyDescent="0.25"/>
    <row r="26" spans="2:5" ht="45" x14ac:dyDescent="0.25">
      <c r="B26" s="3" t="s">
        <v>286</v>
      </c>
    </row>
    <row r="27" spans="2:5" x14ac:dyDescent="0.25">
      <c r="B27" s="5"/>
    </row>
    <row r="28" spans="2:5" x14ac:dyDescent="0.25">
      <c r="B28" s="2" t="s">
        <v>284</v>
      </c>
    </row>
    <row r="29" spans="2:5" x14ac:dyDescent="0.25"/>
  </sheetData>
  <sheetProtection sheet="1" objects="1" scenarios="1"/>
  <dataValidations count="1">
    <dataValidation type="list" allowBlank="1" showInputMessage="1" showErrorMessage="1" sqref="D19">
      <formula1>"1,2"</formula1>
    </dataValidation>
  </dataValidations>
  <pageMargins left="0.7" right="0.7" top="0.75" bottom="0.75" header="0.3" footer="0.3"/>
  <pageSetup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19" zoomScaleNormal="100" workbookViewId="0">
      <selection activeCell="B33" sqref="B33"/>
    </sheetView>
  </sheetViews>
  <sheetFormatPr defaultColWidth="0" defaultRowHeight="15" zeroHeight="1" x14ac:dyDescent="0.25"/>
  <cols>
    <col min="1" max="1" width="2.42578125" style="1" customWidth="1"/>
    <col min="2" max="2" width="79.85546875" style="2" customWidth="1"/>
    <col min="3" max="3" width="1.7109375" style="1" customWidth="1"/>
    <col min="4" max="4" width="15.28515625" style="1" customWidth="1"/>
    <col min="5" max="5" width="2.5703125" style="1" customWidth="1"/>
    <col min="6" max="6" width="67" style="2" customWidth="1"/>
    <col min="7" max="7" width="8.85546875" style="1" customWidth="1"/>
    <col min="8" max="8" width="8.85546875" style="1" hidden="1" customWidth="1"/>
    <col min="9" max="9" width="11" style="1" hidden="1" customWidth="1"/>
    <col min="10" max="16384" width="8.85546875" style="1" hidden="1"/>
  </cols>
  <sheetData>
    <row r="1" spans="1:6" ht="15.75" x14ac:dyDescent="0.25">
      <c r="A1" s="7" t="s">
        <v>95</v>
      </c>
    </row>
    <row r="2" spans="1:6" ht="15.75" x14ac:dyDescent="0.25">
      <c r="A2" s="30" t="s">
        <v>199</v>
      </c>
      <c r="F2" s="1"/>
    </row>
    <row r="3" spans="1:6" ht="15.75" x14ac:dyDescent="0.25">
      <c r="A3" s="30"/>
      <c r="F3" s="1"/>
    </row>
    <row r="4" spans="1:6" x14ac:dyDescent="0.25">
      <c r="B4" s="3" t="s">
        <v>1</v>
      </c>
      <c r="C4" s="4"/>
      <c r="D4" s="4" t="s">
        <v>0</v>
      </c>
      <c r="E4" s="4"/>
      <c r="F4" s="3" t="s">
        <v>6</v>
      </c>
    </row>
    <row r="5" spans="1:6" ht="15.75" thickBot="1" x14ac:dyDescent="0.3">
      <c r="B5" s="3" t="s">
        <v>96</v>
      </c>
      <c r="C5" s="4"/>
      <c r="D5" s="4"/>
      <c r="E5" s="4"/>
      <c r="F5" s="3"/>
    </row>
    <row r="6" spans="1:6" s="6" customFormat="1" ht="15.75" thickBot="1" x14ac:dyDescent="0.3">
      <c r="B6" s="5" t="s">
        <v>97</v>
      </c>
      <c r="D6" s="40"/>
      <c r="F6" s="5"/>
    </row>
    <row r="7" spans="1:6" s="6" customFormat="1" ht="15.75" thickBot="1" x14ac:dyDescent="0.3">
      <c r="B7" s="5" t="s">
        <v>99</v>
      </c>
      <c r="D7" s="40"/>
      <c r="F7" s="5" t="s">
        <v>243</v>
      </c>
    </row>
    <row r="8" spans="1:6" s="6" customFormat="1" ht="15.75" thickBot="1" x14ac:dyDescent="0.3">
      <c r="B8" s="5" t="s">
        <v>100</v>
      </c>
      <c r="D8" s="40"/>
    </row>
    <row r="9" spans="1:6" s="6" customFormat="1" ht="15.75" thickBot="1" x14ac:dyDescent="0.3">
      <c r="B9" s="5" t="s">
        <v>98</v>
      </c>
      <c r="D9" s="40"/>
      <c r="F9" s="5" t="s">
        <v>244</v>
      </c>
    </row>
    <row r="10" spans="1:6" s="6" customFormat="1" ht="15.75" customHeight="1" thickBot="1" x14ac:dyDescent="0.3">
      <c r="B10" s="5" t="s">
        <v>101</v>
      </c>
      <c r="D10" s="40"/>
      <c r="F10" s="5" t="s">
        <v>245</v>
      </c>
    </row>
    <row r="11" spans="1:6" s="6" customFormat="1" ht="15.75" thickBot="1" x14ac:dyDescent="0.3">
      <c r="B11" s="5" t="s">
        <v>102</v>
      </c>
      <c r="D11" s="40"/>
      <c r="F11" s="5"/>
    </row>
    <row r="12" spans="1:6" s="6" customFormat="1" x14ac:dyDescent="0.25">
      <c r="B12" s="5"/>
      <c r="D12" s="51"/>
      <c r="F12" s="5"/>
    </row>
    <row r="13" spans="1:6" s="6" customFormat="1" x14ac:dyDescent="0.25">
      <c r="B13" s="5" t="s">
        <v>103</v>
      </c>
      <c r="D13" s="53">
        <f>+D6+D7+D8</f>
        <v>0</v>
      </c>
      <c r="F13" s="5"/>
    </row>
    <row r="14" spans="1:6" s="6" customFormat="1" x14ac:dyDescent="0.25">
      <c r="B14" s="5" t="s">
        <v>104</v>
      </c>
      <c r="D14" s="53">
        <f>+D9+D10+D11</f>
        <v>0</v>
      </c>
      <c r="F14" s="5"/>
    </row>
    <row r="15" spans="1:6" s="6" customFormat="1" x14ac:dyDescent="0.25">
      <c r="B15" s="5"/>
      <c r="D15" s="51"/>
      <c r="F15" s="5"/>
    </row>
    <row r="16" spans="1:6" s="6" customFormat="1" x14ac:dyDescent="0.25">
      <c r="B16" s="5" t="s">
        <v>246</v>
      </c>
      <c r="D16" s="59" t="e">
        <f>+D13/'EPCS Credentialing Roles'!D7</f>
        <v>#DIV/0!</v>
      </c>
      <c r="F16" s="5"/>
    </row>
    <row r="17" spans="2:8" x14ac:dyDescent="0.25">
      <c r="B17" s="2" t="s">
        <v>247</v>
      </c>
      <c r="D17" s="82" t="e">
        <f>+D14/'EPCS Credentialing Roles'!D7</f>
        <v>#DIV/0!</v>
      </c>
      <c r="H17" s="2"/>
    </row>
    <row r="18" spans="2:8" x14ac:dyDescent="0.25">
      <c r="D18" s="52"/>
    </row>
    <row r="19" spans="2:8" ht="15.75" thickBot="1" x14ac:dyDescent="0.3">
      <c r="B19" s="3" t="s">
        <v>105</v>
      </c>
      <c r="C19" s="4"/>
      <c r="D19" s="44"/>
      <c r="E19" s="4"/>
      <c r="F19" s="3"/>
    </row>
    <row r="20" spans="2:8" ht="15.75" thickBot="1" x14ac:dyDescent="0.3">
      <c r="B20" s="5" t="s">
        <v>106</v>
      </c>
      <c r="C20" s="6"/>
      <c r="D20" s="40"/>
      <c r="E20" s="6"/>
      <c r="F20" s="5"/>
    </row>
    <row r="21" spans="2:8" ht="15.75" thickBot="1" x14ac:dyDescent="0.3">
      <c r="B21" s="5" t="s">
        <v>108</v>
      </c>
      <c r="C21" s="6"/>
      <c r="D21" s="40"/>
      <c r="E21" s="6"/>
      <c r="F21" s="5" t="s">
        <v>243</v>
      </c>
    </row>
    <row r="22" spans="2:8" ht="15.75" thickBot="1" x14ac:dyDescent="0.3">
      <c r="B22" s="5" t="s">
        <v>110</v>
      </c>
      <c r="C22" s="6"/>
      <c r="D22" s="40"/>
      <c r="E22" s="6"/>
      <c r="F22" s="6"/>
    </row>
    <row r="23" spans="2:8" ht="15.75" thickBot="1" x14ac:dyDescent="0.3">
      <c r="B23" s="5" t="s">
        <v>107</v>
      </c>
      <c r="C23" s="6"/>
      <c r="D23" s="40"/>
      <c r="E23" s="6"/>
      <c r="F23" s="5" t="s">
        <v>244</v>
      </c>
    </row>
    <row r="24" spans="2:8" ht="15.75" thickBot="1" x14ac:dyDescent="0.3">
      <c r="B24" s="5" t="s">
        <v>109</v>
      </c>
      <c r="C24" s="6"/>
      <c r="D24" s="40"/>
      <c r="E24" s="6"/>
      <c r="F24" s="5" t="s">
        <v>245</v>
      </c>
    </row>
    <row r="25" spans="2:8" ht="15.75" thickBot="1" x14ac:dyDescent="0.3">
      <c r="B25" s="5" t="s">
        <v>111</v>
      </c>
      <c r="C25" s="6"/>
      <c r="D25" s="40"/>
      <c r="E25" s="6"/>
      <c r="F25" s="5"/>
    </row>
    <row r="26" spans="2:8" x14ac:dyDescent="0.25">
      <c r="B26" s="5"/>
      <c r="C26" s="6"/>
      <c r="D26" s="51"/>
      <c r="E26" s="6"/>
      <c r="F26" s="5"/>
    </row>
    <row r="27" spans="2:8" x14ac:dyDescent="0.25">
      <c r="B27" s="5" t="s">
        <v>248</v>
      </c>
      <c r="C27" s="6"/>
      <c r="D27" s="53">
        <f>+D20+D21+D22</f>
        <v>0</v>
      </c>
      <c r="E27" s="6"/>
      <c r="F27" s="5"/>
    </row>
    <row r="28" spans="2:8" x14ac:dyDescent="0.25">
      <c r="B28" s="2" t="s">
        <v>249</v>
      </c>
      <c r="C28" s="6"/>
      <c r="D28" s="53">
        <f>+D23+D24+D25</f>
        <v>0</v>
      </c>
      <c r="E28" s="6"/>
      <c r="F28" s="5"/>
    </row>
    <row r="29" spans="2:8" x14ac:dyDescent="0.25">
      <c r="B29" s="5"/>
      <c r="C29" s="6"/>
      <c r="D29" s="51"/>
      <c r="E29" s="6"/>
      <c r="F29" s="5"/>
    </row>
    <row r="30" spans="2:8" x14ac:dyDescent="0.25">
      <c r="B30" s="5" t="s">
        <v>112</v>
      </c>
      <c r="C30" s="6"/>
      <c r="D30" s="59" t="e">
        <f>D27/'Base Capacity'!D7</f>
        <v>#DIV/0!</v>
      </c>
      <c r="E30" s="6"/>
      <c r="F30" s="5"/>
    </row>
    <row r="31" spans="2:8" x14ac:dyDescent="0.25">
      <c r="B31" s="2" t="s">
        <v>113</v>
      </c>
      <c r="D31" s="82" t="e">
        <f>D28/'Base Capacity'!D7</f>
        <v>#DIV/0!</v>
      </c>
    </row>
    <row r="32" spans="2:8" x14ac:dyDescent="0.25"/>
    <row r="33" spans="2:6" ht="30" x14ac:dyDescent="0.25">
      <c r="B33" s="2" t="s">
        <v>287</v>
      </c>
    </row>
    <row r="34" spans="2:6" x14ac:dyDescent="0.25">
      <c r="B34" s="5"/>
    </row>
    <row r="35" spans="2:6" x14ac:dyDescent="0.25">
      <c r="B35" s="6" t="s">
        <v>282</v>
      </c>
    </row>
    <row r="36" spans="2:6" x14ac:dyDescent="0.25"/>
    <row r="37" spans="2:6" hidden="1" x14ac:dyDescent="0.25"/>
    <row r="38" spans="2:6" hidden="1" x14ac:dyDescent="0.25"/>
    <row r="39" spans="2:6" hidden="1" x14ac:dyDescent="0.25"/>
    <row r="40" spans="2:6" hidden="1" x14ac:dyDescent="0.25"/>
    <row r="41" spans="2:6" hidden="1" x14ac:dyDescent="0.25">
      <c r="B41" s="5"/>
    </row>
    <row r="42" spans="2:6" hidden="1" x14ac:dyDescent="0.25">
      <c r="B42" s="4"/>
    </row>
    <row r="43" spans="2:6" hidden="1" x14ac:dyDescent="0.25"/>
    <row r="44" spans="2:6" s="6" customFormat="1" hidden="1" x14ac:dyDescent="0.25">
      <c r="B44" s="2"/>
      <c r="F44" s="5"/>
    </row>
    <row r="45" spans="2:6" hidden="1" x14ac:dyDescent="0.25"/>
    <row r="46" spans="2:6" hidden="1" x14ac:dyDescent="0.25"/>
    <row r="47" spans="2:6" hidden="1" x14ac:dyDescent="0.25">
      <c r="B47" s="5"/>
    </row>
    <row r="48" spans="2:6" hidden="1" x14ac:dyDescent="0.25">
      <c r="B48" s="4"/>
    </row>
    <row r="49" spans="2:5" hidden="1" x14ac:dyDescent="0.25"/>
    <row r="50" spans="2:5" hidden="1" x14ac:dyDescent="0.25"/>
    <row r="51" spans="2:5" hidden="1" x14ac:dyDescent="0.25"/>
    <row r="52" spans="2:5" hidden="1" x14ac:dyDescent="0.25"/>
    <row r="53" spans="2:5" hidden="1" x14ac:dyDescent="0.25"/>
    <row r="54" spans="2:5" hidden="1" x14ac:dyDescent="0.25"/>
    <row r="55" spans="2:5" hidden="1" x14ac:dyDescent="0.25">
      <c r="B55" s="3"/>
      <c r="C55" s="4"/>
      <c r="D55" s="4"/>
      <c r="E55" s="4"/>
    </row>
    <row r="56" spans="2:5" hidden="1" x14ac:dyDescent="0.25"/>
    <row r="57" spans="2:5" hidden="1" x14ac:dyDescent="0.25"/>
    <row r="58" spans="2:5" hidden="1" x14ac:dyDescent="0.25"/>
    <row r="59" spans="2:5" hidden="1" x14ac:dyDescent="0.25"/>
    <row r="60" spans="2:5" hidden="1" x14ac:dyDescent="0.25"/>
    <row r="61" spans="2:5" hidden="1" x14ac:dyDescent="0.25"/>
    <row r="62" spans="2:5" hidden="1" x14ac:dyDescent="0.25"/>
    <row r="63" spans="2:5" hidden="1" x14ac:dyDescent="0.25"/>
    <row r="64" spans="2:5" hidden="1" x14ac:dyDescent="0.25"/>
    <row r="65" spans="2:2" hidden="1" x14ac:dyDescent="0.25">
      <c r="B65" s="4"/>
    </row>
  </sheetData>
  <sheetProtection sheet="1" objects="1" scenarios="1"/>
  <pageMargins left="0.7" right="0.7" top="0.75" bottom="0.75" header="0.3" footer="0.3"/>
  <pageSetup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82" zoomScaleNormal="100" workbookViewId="0">
      <selection activeCell="I1" sqref="I1:XFD1048576"/>
    </sheetView>
  </sheetViews>
  <sheetFormatPr defaultColWidth="0" defaultRowHeight="15" zeroHeight="1" x14ac:dyDescent="0.25"/>
  <cols>
    <col min="1" max="1" width="2.5703125" style="1" customWidth="1"/>
    <col min="2" max="2" width="43.140625" style="2" customWidth="1"/>
    <col min="3" max="3" width="1.7109375" style="1" customWidth="1"/>
    <col min="4" max="4" width="15.28515625" style="1" customWidth="1"/>
    <col min="5" max="5" width="4.28515625" style="1" customWidth="1"/>
    <col min="6" max="6" width="54.5703125" style="1" customWidth="1"/>
    <col min="7" max="7" width="50.5703125" style="2" customWidth="1"/>
    <col min="8" max="8" width="8.85546875" style="1" customWidth="1"/>
    <col min="9" max="9" width="8.85546875" style="1" hidden="1" customWidth="1"/>
    <col min="10" max="10" width="11" style="1" hidden="1" customWidth="1"/>
    <col min="11" max="16384" width="8.85546875" style="1" hidden="1"/>
  </cols>
  <sheetData>
    <row r="1" spans="1:7" ht="15.75" x14ac:dyDescent="0.25">
      <c r="A1" s="7" t="s">
        <v>114</v>
      </c>
    </row>
    <row r="2" spans="1:7" ht="15.75" x14ac:dyDescent="0.25">
      <c r="A2" s="30" t="s">
        <v>203</v>
      </c>
      <c r="G2" s="1"/>
    </row>
    <row r="3" spans="1:7" ht="15.75" x14ac:dyDescent="0.25">
      <c r="A3" s="30"/>
      <c r="G3" s="1"/>
    </row>
    <row r="4" spans="1:7" x14ac:dyDescent="0.25">
      <c r="B4" s="3" t="s">
        <v>1</v>
      </c>
      <c r="C4" s="4"/>
      <c r="D4" s="4" t="s">
        <v>0</v>
      </c>
      <c r="E4" s="4"/>
      <c r="F4" s="3" t="s">
        <v>144</v>
      </c>
      <c r="G4" s="3" t="s">
        <v>6</v>
      </c>
    </row>
    <row r="5" spans="1:7" ht="15.75" thickBot="1" x14ac:dyDescent="0.3">
      <c r="B5" s="4" t="s">
        <v>39</v>
      </c>
      <c r="D5" s="43"/>
      <c r="F5" s="74"/>
    </row>
    <row r="6" spans="1:7" ht="30.75" thickBot="1" x14ac:dyDescent="0.3">
      <c r="B6" s="2" t="s">
        <v>121</v>
      </c>
      <c r="D6" s="45">
        <v>0.9</v>
      </c>
      <c r="F6" s="74"/>
      <c r="G6" s="2" t="s">
        <v>122</v>
      </c>
    </row>
    <row r="7" spans="1:7" s="6" customFormat="1" x14ac:dyDescent="0.25">
      <c r="B7" s="2"/>
      <c r="D7" s="51"/>
      <c r="F7" s="73"/>
      <c r="G7" s="5"/>
    </row>
    <row r="8" spans="1:7" x14ac:dyDescent="0.25">
      <c r="B8" s="2" t="s">
        <v>123</v>
      </c>
      <c r="D8" s="57" t="e">
        <f>+'Disk Capacity'!D50+(365*'Base Capacity'!$D$34)</f>
        <v>#VALUE!</v>
      </c>
      <c r="E8" s="2" t="str">
        <f>'Base Capacity'!D32</f>
        <v>GB</v>
      </c>
      <c r="F8" s="74"/>
    </row>
    <row r="9" spans="1:7" x14ac:dyDescent="0.25">
      <c r="B9" s="2" t="s">
        <v>124</v>
      </c>
      <c r="D9" s="57" t="e">
        <f>+'Disk Capacity'!D51+(365*'Base Capacity'!$D$34)</f>
        <v>#VALUE!</v>
      </c>
      <c r="E9" s="2" t="str">
        <f>'Base Capacity'!D32</f>
        <v>GB</v>
      </c>
      <c r="F9" s="74"/>
    </row>
    <row r="10" spans="1:7" x14ac:dyDescent="0.25">
      <c r="B10" s="5" t="s">
        <v>125</v>
      </c>
      <c r="D10" s="57" t="e">
        <f>+'Disk Capacity'!D52+(365*'Base Capacity'!$D$34)</f>
        <v>#VALUE!</v>
      </c>
      <c r="E10" s="1" t="str">
        <f>'Base Capacity'!D32</f>
        <v>GB</v>
      </c>
      <c r="F10" s="74"/>
    </row>
    <row r="11" spans="1:7" s="6" customFormat="1" x14ac:dyDescent="0.25">
      <c r="B11" s="6" t="s">
        <v>126</v>
      </c>
      <c r="D11" s="57" t="e">
        <f>+'Disk Capacity'!D53+(365*'Base Capacity'!$D$34)</f>
        <v>#VALUE!</v>
      </c>
      <c r="E11" s="6" t="str">
        <f>'Base Capacity'!D32</f>
        <v>GB</v>
      </c>
      <c r="F11" s="75"/>
      <c r="G11" s="5"/>
    </row>
    <row r="12" spans="1:7" x14ac:dyDescent="0.25">
      <c r="B12" s="2" t="s">
        <v>127</v>
      </c>
      <c r="D12" s="57" t="e">
        <f>+'Disk Capacity'!D54+(365*'Base Capacity'!$D$34)</f>
        <v>#VALUE!</v>
      </c>
      <c r="E12" s="1" t="str">
        <f>'Base Capacity'!D32</f>
        <v>GB</v>
      </c>
      <c r="F12" s="75"/>
    </row>
    <row r="13" spans="1:7" x14ac:dyDescent="0.25">
      <c r="D13" s="58"/>
      <c r="F13" s="74"/>
    </row>
    <row r="14" spans="1:7" x14ac:dyDescent="0.25">
      <c r="B14" s="2" t="s">
        <v>129</v>
      </c>
      <c r="D14" s="57" t="e">
        <f>+'Base Capacity'!D33-'Threshold Monitoring'!D8</f>
        <v>#VALUE!</v>
      </c>
      <c r="E14" s="1" t="str">
        <f>'Base Capacity'!D32</f>
        <v>GB</v>
      </c>
      <c r="F14" s="76" t="e">
        <f>IF(D14&lt;(1-D6)*'Base Capacity'!D33,"Available Space is lower than site threshold","")</f>
        <v>#VALUE!</v>
      </c>
    </row>
    <row r="15" spans="1:7" x14ac:dyDescent="0.25">
      <c r="B15" s="2" t="s">
        <v>130</v>
      </c>
      <c r="D15" s="57" t="e">
        <f>+D14-D9</f>
        <v>#VALUE!</v>
      </c>
      <c r="E15" s="1" t="str">
        <f>'Base Capacity'!D32</f>
        <v>GB</v>
      </c>
      <c r="F15" s="76" t="e">
        <f>IF(D15&lt;(1-D6)*'Base Capacity'!D33,"Available Space is lower than site threshold","")</f>
        <v>#VALUE!</v>
      </c>
    </row>
    <row r="16" spans="1:7" x14ac:dyDescent="0.25">
      <c r="B16" s="2" t="s">
        <v>131</v>
      </c>
      <c r="D16" s="57" t="e">
        <f t="shared" ref="D16:D18" si="0">+D15-D10</f>
        <v>#VALUE!</v>
      </c>
      <c r="E16" s="1" t="str">
        <f>'Base Capacity'!D32</f>
        <v>GB</v>
      </c>
      <c r="F16" s="76" t="e">
        <f>IF(D16&lt;(1-D6)*'Base Capacity'!D33,"Available Space is lower than site threshold","")</f>
        <v>#VALUE!</v>
      </c>
    </row>
    <row r="17" spans="2:7" x14ac:dyDescent="0.25">
      <c r="B17" s="2" t="s">
        <v>132</v>
      </c>
      <c r="D17" s="57" t="e">
        <f t="shared" si="0"/>
        <v>#VALUE!</v>
      </c>
      <c r="E17" s="1" t="str">
        <f>'Base Capacity'!D32</f>
        <v>GB</v>
      </c>
      <c r="F17" s="76" t="e">
        <f>IF(D16&lt;(1-D6)*'Base Capacity'!D33,"Available Space is lower than site threshold","")</f>
        <v>#VALUE!</v>
      </c>
    </row>
    <row r="18" spans="2:7" s="6" customFormat="1" x14ac:dyDescent="0.25">
      <c r="B18" s="5" t="s">
        <v>133</v>
      </c>
      <c r="D18" s="59" t="e">
        <f t="shared" si="0"/>
        <v>#VALUE!</v>
      </c>
      <c r="E18" s="6" t="str">
        <f>'Base Capacity'!D32</f>
        <v>GB</v>
      </c>
      <c r="F18" s="76" t="e">
        <f>IF(D18&lt;(1-D6)*'Base Capacity'!D33,"Available Space is lower than site threshold","")</f>
        <v>#VALUE!</v>
      </c>
      <c r="G18" s="5"/>
    </row>
    <row r="19" spans="2:7" x14ac:dyDescent="0.25">
      <c r="D19" s="43"/>
      <c r="F19" s="77"/>
    </row>
    <row r="20" spans="2:7" x14ac:dyDescent="0.25">
      <c r="D20" s="43"/>
      <c r="F20" s="77"/>
    </row>
    <row r="21" spans="2:7" ht="15.75" thickBot="1" x14ac:dyDescent="0.3">
      <c r="B21" s="3" t="s">
        <v>79</v>
      </c>
      <c r="D21" s="43"/>
      <c r="F21" s="77"/>
    </row>
    <row r="22" spans="2:7" ht="45.75" thickBot="1" x14ac:dyDescent="0.3">
      <c r="B22" s="2" t="s">
        <v>171</v>
      </c>
      <c r="D22" s="45">
        <v>0.9</v>
      </c>
      <c r="F22" s="77"/>
      <c r="G22" s="2" t="s">
        <v>170</v>
      </c>
    </row>
    <row r="23" spans="2:7" x14ac:dyDescent="0.25">
      <c r="D23" s="43"/>
      <c r="F23" s="77"/>
    </row>
    <row r="24" spans="2:7" x14ac:dyDescent="0.25">
      <c r="B24" s="2" t="s">
        <v>134</v>
      </c>
      <c r="D24" s="57" t="e">
        <f>+'Backup Capacity'!D53+('Base Capacity'!$D$38*365)</f>
        <v>#VALUE!</v>
      </c>
      <c r="E24" s="1" t="str">
        <f>'Base Capacity'!D32</f>
        <v>GB</v>
      </c>
      <c r="F24" s="77"/>
    </row>
    <row r="25" spans="2:7" x14ac:dyDescent="0.25">
      <c r="B25" s="2" t="s">
        <v>135</v>
      </c>
      <c r="D25" s="57" t="e">
        <f>+'Backup Capacity'!D54+('Base Capacity'!$D$38*365)</f>
        <v>#VALUE!</v>
      </c>
      <c r="E25" s="1" t="str">
        <f>'Base Capacity'!D32</f>
        <v>GB</v>
      </c>
      <c r="F25" s="77"/>
    </row>
    <row r="26" spans="2:7" x14ac:dyDescent="0.25">
      <c r="B26" s="2" t="s">
        <v>136</v>
      </c>
      <c r="D26" s="57" t="e">
        <f>+'Backup Capacity'!D55+('Base Capacity'!$D$38*365)</f>
        <v>#VALUE!</v>
      </c>
      <c r="E26" s="1" t="str">
        <f>'Base Capacity'!D32</f>
        <v>GB</v>
      </c>
      <c r="F26" s="77"/>
    </row>
    <row r="27" spans="2:7" x14ac:dyDescent="0.25">
      <c r="B27" s="2" t="s">
        <v>137</v>
      </c>
      <c r="D27" s="57" t="e">
        <f>+'Backup Capacity'!D56+('Base Capacity'!$D$38*365)</f>
        <v>#VALUE!</v>
      </c>
      <c r="E27" s="1" t="str">
        <f>'Base Capacity'!D32</f>
        <v>GB</v>
      </c>
      <c r="F27" s="77"/>
    </row>
    <row r="28" spans="2:7" x14ac:dyDescent="0.25">
      <c r="B28" s="2" t="s">
        <v>138</v>
      </c>
      <c r="D28" s="57" t="e">
        <f>+'Backup Capacity'!D57+('Base Capacity'!$D$38*365)</f>
        <v>#VALUE!</v>
      </c>
      <c r="E28" s="1" t="str">
        <f>'Base Capacity'!D32</f>
        <v>GB</v>
      </c>
      <c r="F28" s="77"/>
    </row>
    <row r="29" spans="2:7" x14ac:dyDescent="0.25">
      <c r="B29" s="4"/>
      <c r="D29" s="58"/>
      <c r="F29" s="77"/>
    </row>
    <row r="30" spans="2:7" x14ac:dyDescent="0.25">
      <c r="B30" s="2" t="s">
        <v>139</v>
      </c>
      <c r="D30" s="57" t="e">
        <f>+'Base Capacity'!D37-'Threshold Monitoring'!D24</f>
        <v>#VALUE!</v>
      </c>
      <c r="E30" s="1" t="str">
        <f>'Base Capacity'!D32</f>
        <v>GB</v>
      </c>
      <c r="F30" s="76" t="e">
        <f>IF(D30&lt;(1-D22)*'Base Capacity'!D37,"Available Space is lower than site threshold","")</f>
        <v>#VALUE!</v>
      </c>
    </row>
    <row r="31" spans="2:7" x14ac:dyDescent="0.25">
      <c r="B31" s="2" t="s">
        <v>140</v>
      </c>
      <c r="D31" s="57" t="e">
        <f>+'Base Capacity'!D37-'Threshold Monitoring'!D25</f>
        <v>#VALUE!</v>
      </c>
      <c r="E31" s="1" t="str">
        <f>'Base Capacity'!D32</f>
        <v>GB</v>
      </c>
      <c r="F31" s="76" t="e">
        <f>IF(D31&lt;(1-D22)*'Base Capacity'!D37,"Available Space is lower than site threshold","")</f>
        <v>#VALUE!</v>
      </c>
    </row>
    <row r="32" spans="2:7" x14ac:dyDescent="0.25">
      <c r="B32" s="2" t="s">
        <v>141</v>
      </c>
      <c r="D32" s="57" t="e">
        <f>+'Base Capacity'!D37-'Threshold Monitoring'!D26</f>
        <v>#VALUE!</v>
      </c>
      <c r="E32" s="1" t="str">
        <f>'Base Capacity'!D32</f>
        <v>GB</v>
      </c>
      <c r="F32" s="76" t="e">
        <f>IF(D32&lt;(1-D22)*'Base Capacity'!D37,"Available Space is lower than site threshold","")</f>
        <v>#VALUE!</v>
      </c>
    </row>
    <row r="33" spans="2:9" x14ac:dyDescent="0.25">
      <c r="B33" s="2" t="s">
        <v>142</v>
      </c>
      <c r="D33" s="57" t="e">
        <f>+'Base Capacity'!D37-'Threshold Monitoring'!D27</f>
        <v>#VALUE!</v>
      </c>
      <c r="E33" s="1" t="str">
        <f>'Base Capacity'!D32</f>
        <v>GB</v>
      </c>
      <c r="F33" s="76" t="e">
        <f>IF(D33&lt;(1-D22)*'Base Capacity'!D37,"Available Space is lower than site threshold","")</f>
        <v>#VALUE!</v>
      </c>
    </row>
    <row r="34" spans="2:9" x14ac:dyDescent="0.25">
      <c r="B34" s="2" t="s">
        <v>143</v>
      </c>
      <c r="D34" s="57" t="e">
        <f>+'Base Capacity'!D37-'Threshold Monitoring'!D28</f>
        <v>#VALUE!</v>
      </c>
      <c r="E34" s="1" t="str">
        <f>'Base Capacity'!D32</f>
        <v>GB</v>
      </c>
      <c r="F34" s="76" t="e">
        <f>IF(D34&lt;(1-D22)*'Base Capacity'!D37,"Available Space is lower than site threshold","")</f>
        <v>#VALUE!</v>
      </c>
    </row>
    <row r="35" spans="2:9" x14ac:dyDescent="0.25">
      <c r="D35" s="43"/>
      <c r="F35" s="77"/>
    </row>
    <row r="36" spans="2:9" ht="15.75" thickBot="1" x14ac:dyDescent="0.3">
      <c r="B36" s="3" t="s">
        <v>202</v>
      </c>
      <c r="C36" s="4"/>
      <c r="D36" s="4"/>
      <c r="E36" s="4"/>
      <c r="F36" s="3"/>
      <c r="G36" s="3"/>
    </row>
    <row r="37" spans="2:9" s="6" customFormat="1" ht="30.75" thickBot="1" x14ac:dyDescent="0.3">
      <c r="B37" s="5" t="s">
        <v>115</v>
      </c>
      <c r="D37" s="40"/>
      <c r="F37" s="5"/>
      <c r="G37" s="5" t="s">
        <v>119</v>
      </c>
    </row>
    <row r="38" spans="2:9" s="6" customFormat="1" ht="30.75" thickBot="1" x14ac:dyDescent="0.3">
      <c r="B38" s="5" t="s">
        <v>116</v>
      </c>
      <c r="D38" s="40"/>
      <c r="F38" s="5"/>
      <c r="G38" s="5" t="s">
        <v>119</v>
      </c>
    </row>
    <row r="39" spans="2:9" s="6" customFormat="1" x14ac:dyDescent="0.25">
      <c r="B39" s="5"/>
      <c r="D39" s="51"/>
      <c r="F39" s="5"/>
      <c r="G39" s="5"/>
    </row>
    <row r="40" spans="2:9" s="6" customFormat="1" x14ac:dyDescent="0.25">
      <c r="B40" s="5" t="s">
        <v>117</v>
      </c>
      <c r="D40" s="59" t="e">
        <f>+'EPCS Credentialing Roles'!D8</f>
        <v>#DIV/0!</v>
      </c>
      <c r="F40" s="71" t="e">
        <f>IF(D40&gt;$D$37,"Provider Profile Admin ratio is less than Site's threshold.","")</f>
        <v>#DIV/0!</v>
      </c>
    </row>
    <row r="41" spans="2:9" s="6" customFormat="1" x14ac:dyDescent="0.25">
      <c r="B41" s="5" t="s">
        <v>15</v>
      </c>
      <c r="D41" s="59" t="e">
        <f>+'EPCS Credentialing Roles'!D9</f>
        <v>#DIV/0!</v>
      </c>
      <c r="F41" s="71" t="e">
        <f t="shared" ref="F41:F44" si="1">IF(D41&gt;$D$37,"Provider Profile Admin ratio is less than Site's threshold.","")</f>
        <v>#DIV/0!</v>
      </c>
      <c r="G41" s="5"/>
    </row>
    <row r="42" spans="2:9" s="6" customFormat="1" x14ac:dyDescent="0.25">
      <c r="B42" s="5" t="s">
        <v>16</v>
      </c>
      <c r="D42" s="59" t="e">
        <f>+'EPCS Credentialing Roles'!D10</f>
        <v>#DIV/0!</v>
      </c>
      <c r="F42" s="71" t="e">
        <f t="shared" si="1"/>
        <v>#DIV/0!</v>
      </c>
      <c r="G42" s="5"/>
    </row>
    <row r="43" spans="2:9" s="6" customFormat="1" x14ac:dyDescent="0.25">
      <c r="B43" s="5" t="s">
        <v>17</v>
      </c>
      <c r="D43" s="59" t="e">
        <f>+'EPCS Credentialing Roles'!D11</f>
        <v>#DIV/0!</v>
      </c>
      <c r="F43" s="71" t="e">
        <f t="shared" si="1"/>
        <v>#DIV/0!</v>
      </c>
      <c r="G43" s="5"/>
    </row>
    <row r="44" spans="2:9" s="6" customFormat="1" x14ac:dyDescent="0.25">
      <c r="B44" s="5" t="s">
        <v>17</v>
      </c>
      <c r="D44" s="59" t="e">
        <f>+'EPCS Credentialing Roles'!D12</f>
        <v>#DIV/0!</v>
      </c>
      <c r="F44" s="71" t="e">
        <f t="shared" si="1"/>
        <v>#DIV/0!</v>
      </c>
      <c r="G44" s="5"/>
    </row>
    <row r="45" spans="2:9" s="6" customFormat="1" x14ac:dyDescent="0.25">
      <c r="B45" s="5"/>
      <c r="D45" s="81"/>
      <c r="F45" s="72"/>
      <c r="G45" s="5"/>
    </row>
    <row r="46" spans="2:9" s="6" customFormat="1" x14ac:dyDescent="0.25">
      <c r="B46" s="5" t="s">
        <v>118</v>
      </c>
      <c r="D46" s="59" t="e">
        <f>+'EPCS Credentialing Roles'!D15</f>
        <v>#DIV/0!</v>
      </c>
      <c r="F46" s="71" t="e">
        <f>IF(D46&gt;$D$38,"Provider Access Admin ratio is less than Site's threshold.","")</f>
        <v>#DIV/0!</v>
      </c>
      <c r="G46" s="5"/>
    </row>
    <row r="47" spans="2:9" x14ac:dyDescent="0.25">
      <c r="B47" s="2" t="s">
        <v>18</v>
      </c>
      <c r="D47" s="59" t="e">
        <f>+'EPCS Credentialing Roles'!D16</f>
        <v>#DIV/0!</v>
      </c>
      <c r="F47" s="71" t="e">
        <f t="shared" ref="F47:F50" si="2">IF(D47&gt;$D$38,"Provider Access Admin ratio is less than Site's threshold.","")</f>
        <v>#DIV/0!</v>
      </c>
      <c r="I47" s="2"/>
    </row>
    <row r="48" spans="2:9" x14ac:dyDescent="0.25">
      <c r="B48" s="2" t="s">
        <v>19</v>
      </c>
      <c r="D48" s="59" t="e">
        <f>+'EPCS Credentialing Roles'!D17</f>
        <v>#DIV/0!</v>
      </c>
      <c r="F48" s="71" t="e">
        <f t="shared" si="2"/>
        <v>#DIV/0!</v>
      </c>
    </row>
    <row r="49" spans="2:7" x14ac:dyDescent="0.25">
      <c r="B49" s="5" t="s">
        <v>20</v>
      </c>
      <c r="C49" s="4"/>
      <c r="D49" s="59" t="e">
        <f>+'EPCS Credentialing Roles'!D18</f>
        <v>#DIV/0!</v>
      </c>
      <c r="E49" s="4"/>
      <c r="F49" s="71" t="e">
        <f t="shared" si="2"/>
        <v>#DIV/0!</v>
      </c>
      <c r="G49" s="3"/>
    </row>
    <row r="50" spans="2:7" x14ac:dyDescent="0.25">
      <c r="B50" s="5" t="s">
        <v>21</v>
      </c>
      <c r="C50" s="6"/>
      <c r="D50" s="59" t="e">
        <f>+'EPCS Credentialing Roles'!D19</f>
        <v>#DIV/0!</v>
      </c>
      <c r="E50" s="6"/>
      <c r="F50" s="71" t="e">
        <f t="shared" si="2"/>
        <v>#DIV/0!</v>
      </c>
      <c r="G50" s="5"/>
    </row>
    <row r="51" spans="2:7" x14ac:dyDescent="0.25">
      <c r="B51" s="5"/>
      <c r="C51" s="6"/>
      <c r="D51" s="51"/>
      <c r="E51" s="6"/>
      <c r="F51" s="73"/>
      <c r="G51" s="5"/>
    </row>
    <row r="52" spans="2:7" ht="30" x14ac:dyDescent="0.25">
      <c r="B52" s="3" t="s">
        <v>38</v>
      </c>
      <c r="C52" s="6"/>
      <c r="D52" s="51"/>
      <c r="E52" s="6"/>
      <c r="F52" s="73" t="s">
        <v>158</v>
      </c>
      <c r="G52" s="5" t="s">
        <v>120</v>
      </c>
    </row>
    <row r="53" spans="2:7" x14ac:dyDescent="0.25">
      <c r="B53" s="5" t="s">
        <v>163</v>
      </c>
      <c r="C53" s="6"/>
      <c r="D53" s="53">
        <f>+'Cryptographic Tokens'!D10+'Cryptographic Tokens'!D11+'Cryptographic Tokens'!D16</f>
        <v>0</v>
      </c>
      <c r="E53" s="6"/>
      <c r="F53" s="73"/>
      <c r="G53" s="5"/>
    </row>
    <row r="54" spans="2:7" x14ac:dyDescent="0.25">
      <c r="B54" s="5" t="s">
        <v>159</v>
      </c>
      <c r="C54" s="6"/>
      <c r="D54" s="53">
        <f>+'Cryptographic Tokens'!D11</f>
        <v>0</v>
      </c>
      <c r="E54" s="6"/>
      <c r="F54" s="73"/>
      <c r="G54" s="5"/>
    </row>
    <row r="55" spans="2:7" x14ac:dyDescent="0.25">
      <c r="B55" s="2" t="s">
        <v>160</v>
      </c>
      <c r="D55" s="54">
        <f>+'Cryptographic Tokens'!D11</f>
        <v>0</v>
      </c>
      <c r="F55" s="73"/>
    </row>
    <row r="56" spans="2:7" x14ac:dyDescent="0.25">
      <c r="B56" s="2" t="s">
        <v>161</v>
      </c>
      <c r="D56" s="55">
        <f>+'Cryptographic Tokens'!D11</f>
        <v>0</v>
      </c>
      <c r="F56" s="74"/>
    </row>
    <row r="57" spans="2:7" x14ac:dyDescent="0.25">
      <c r="B57" s="2" t="s">
        <v>162</v>
      </c>
      <c r="D57" s="55">
        <f>+'Cryptographic Tokens'!D11</f>
        <v>0</v>
      </c>
      <c r="F57" s="74"/>
    </row>
    <row r="58" spans="2:7" x14ac:dyDescent="0.25">
      <c r="B58" s="5"/>
      <c r="D58" s="56"/>
      <c r="F58" s="74"/>
    </row>
    <row r="59" spans="2:7" s="6" customFormat="1" x14ac:dyDescent="0.25">
      <c r="B59" s="6" t="s">
        <v>164</v>
      </c>
      <c r="D59" s="53">
        <f>+'Cryptographic Tokens'!D20</f>
        <v>0</v>
      </c>
      <c r="F59" s="75"/>
      <c r="G59" s="5"/>
    </row>
    <row r="60" spans="2:7" x14ac:dyDescent="0.25">
      <c r="B60" s="2" t="s">
        <v>165</v>
      </c>
      <c r="D60" s="53">
        <f>+'Cryptographic Tokens'!D21</f>
        <v>0</v>
      </c>
      <c r="F60" s="74"/>
    </row>
    <row r="61" spans="2:7" x14ac:dyDescent="0.25">
      <c r="B61" s="2" t="s">
        <v>166</v>
      </c>
      <c r="D61" s="53">
        <f>+'Cryptographic Tokens'!D22</f>
        <v>0</v>
      </c>
      <c r="F61" s="74"/>
    </row>
    <row r="62" spans="2:7" x14ac:dyDescent="0.25">
      <c r="B62" s="2" t="s">
        <v>167</v>
      </c>
      <c r="D62" s="53">
        <f>+'Cryptographic Tokens'!D23</f>
        <v>0</v>
      </c>
      <c r="F62" s="74"/>
    </row>
    <row r="63" spans="2:7" x14ac:dyDescent="0.25">
      <c r="B63" s="2" t="s">
        <v>168</v>
      </c>
      <c r="D63" s="53">
        <f>+'Cryptographic Tokens'!D24</f>
        <v>0</v>
      </c>
      <c r="F63" s="74"/>
    </row>
    <row r="64" spans="2:7" x14ac:dyDescent="0.25">
      <c r="B64" s="5"/>
      <c r="D64" s="43"/>
      <c r="F64" s="74"/>
    </row>
    <row r="65" spans="2:7" ht="15.75" thickBot="1" x14ac:dyDescent="0.3">
      <c r="B65" s="3" t="s">
        <v>95</v>
      </c>
      <c r="D65" s="43"/>
      <c r="F65" s="77"/>
    </row>
    <row r="66" spans="2:7" ht="15.75" thickBot="1" x14ac:dyDescent="0.3">
      <c r="B66" s="2" t="s">
        <v>145</v>
      </c>
      <c r="D66" s="39"/>
      <c r="F66" s="77"/>
      <c r="G66" s="2" t="s">
        <v>281</v>
      </c>
    </row>
    <row r="67" spans="2:7" ht="30.75" thickBot="1" x14ac:dyDescent="0.3">
      <c r="B67" s="2" t="s">
        <v>146</v>
      </c>
      <c r="D67" s="39"/>
      <c r="F67" s="77"/>
      <c r="G67" s="2" t="s">
        <v>147</v>
      </c>
    </row>
    <row r="68" spans="2:7" x14ac:dyDescent="0.25">
      <c r="D68" s="43"/>
      <c r="F68" s="77"/>
    </row>
    <row r="69" spans="2:7" x14ac:dyDescent="0.25">
      <c r="B69" s="2" t="s">
        <v>148</v>
      </c>
      <c r="D69" s="55" t="e">
        <f>+'Workstation Capacity'!D30</f>
        <v>#DIV/0!</v>
      </c>
      <c r="F69" s="78" t="e">
        <f>IF(D69&lt;D66,"Provider USB Workstation ratio is less than Site's threshold.","")</f>
        <v>#DIV/0!</v>
      </c>
    </row>
    <row r="70" spans="2:7" x14ac:dyDescent="0.25">
      <c r="B70" s="2" t="s">
        <v>149</v>
      </c>
      <c r="D70" s="55" t="e">
        <f>+'Workstation Capacity'!D27/('Base Capacity'!D10+'Base Capacity'!D7)</f>
        <v>#DIV/0!</v>
      </c>
      <c r="F70" s="78" t="e">
        <f>IF(D70&lt;D66,"Provider USB Workstation ratio is less than Site's threshold.","")</f>
        <v>#DIV/0!</v>
      </c>
    </row>
    <row r="71" spans="2:7" x14ac:dyDescent="0.25">
      <c r="B71" s="2" t="s">
        <v>150</v>
      </c>
      <c r="D71" s="55" t="e">
        <f>+'Workstation Capacity'!D27/((2*'Base Capacity'!D10)+'Base Capacity'!D7)</f>
        <v>#DIV/0!</v>
      </c>
      <c r="F71" s="78" t="e">
        <f>IF(D71&lt;D66,"Provider USB Workstation ratio is less than Site's threshold.","")</f>
        <v>#DIV/0!</v>
      </c>
    </row>
    <row r="72" spans="2:7" x14ac:dyDescent="0.25">
      <c r="B72" s="2" t="s">
        <v>151</v>
      </c>
      <c r="D72" s="55" t="e">
        <f>+'Workstation Capacity'!D27/((3*'Base Capacity'!D10)+'Base Capacity'!D7)</f>
        <v>#DIV/0!</v>
      </c>
      <c r="F72" s="78" t="e">
        <f>IF(D72&lt;D66,"Provider USB Workstation ratio is less than Site's threshold.","")</f>
        <v>#DIV/0!</v>
      </c>
    </row>
    <row r="73" spans="2:7" x14ac:dyDescent="0.25">
      <c r="B73" s="2" t="s">
        <v>152</v>
      </c>
      <c r="D73" s="55" t="e">
        <f>+'Workstation Capacity'!D27/((4*'Base Capacity'!D10)+'Base Capacity'!D7)</f>
        <v>#DIV/0!</v>
      </c>
      <c r="F73" s="78" t="e">
        <f>IF(D73&lt;D66,"Provider USB Workstation ratio is less than Site's threshold.","")</f>
        <v>#DIV/0!</v>
      </c>
    </row>
    <row r="74" spans="2:7" x14ac:dyDescent="0.25">
      <c r="D74" s="60"/>
      <c r="E74" s="25"/>
      <c r="F74" s="79"/>
    </row>
    <row r="75" spans="2:7" x14ac:dyDescent="0.25">
      <c r="B75" s="2" t="s">
        <v>153</v>
      </c>
      <c r="D75" s="55" t="e">
        <f>+'Workstation Capacity'!D31</f>
        <v>#DIV/0!</v>
      </c>
      <c r="F75" s="80" t="e">
        <f>IF(D75&lt;D67,"Provider USB Workstation ratio is less than Site's threshold.","")</f>
        <v>#DIV/0!</v>
      </c>
    </row>
    <row r="76" spans="2:7" x14ac:dyDescent="0.25">
      <c r="B76" s="2" t="s">
        <v>154</v>
      </c>
      <c r="D76" s="55" t="e">
        <f>+'Workstation Capacity'!D28/('Base Capacity'!D10+'Base Capacity'!D7)</f>
        <v>#DIV/0!</v>
      </c>
      <c r="F76" s="80" t="e">
        <f>IF(D76&lt;D67,"Provider USB Workstation ratio is less than Site's threshold.","")</f>
        <v>#DIV/0!</v>
      </c>
    </row>
    <row r="77" spans="2:7" x14ac:dyDescent="0.25">
      <c r="B77" s="2" t="s">
        <v>155</v>
      </c>
      <c r="D77" s="55" t="e">
        <f>+'Workstation Capacity'!D28/((2*'Base Capacity'!D10)+'Base Capacity'!D7)</f>
        <v>#DIV/0!</v>
      </c>
      <c r="F77" s="80" t="e">
        <f>IF(D77&lt;D67,"Provider USB Workstation ratio is less than Site's threshold.","")</f>
        <v>#DIV/0!</v>
      </c>
    </row>
    <row r="78" spans="2:7" x14ac:dyDescent="0.25">
      <c r="B78" s="2" t="s">
        <v>156</v>
      </c>
      <c r="D78" s="55" t="e">
        <f>+'Workstation Capacity'!D28/((3*'Base Capacity'!D10)+'Base Capacity'!D7)</f>
        <v>#DIV/0!</v>
      </c>
      <c r="F78" s="80" t="e">
        <f>IF(D78&lt;D67,"Provider USB Workstation ratio is less than Site's threshold.","")</f>
        <v>#DIV/0!</v>
      </c>
    </row>
    <row r="79" spans="2:7" x14ac:dyDescent="0.25">
      <c r="B79" s="2" t="s">
        <v>157</v>
      </c>
      <c r="D79" s="55" t="e">
        <f>+'Workstation Capacity'!D28/((4*'Base Capacity'!D10)+'Base Capacity'!D7)</f>
        <v>#DIV/0!</v>
      </c>
      <c r="F79" s="80" t="e">
        <f>IF(D79&lt;D67,"Provider USB Workstation ratio is less than Site's threshold.","")</f>
        <v>#DIV/0!</v>
      </c>
    </row>
    <row r="80" spans="2:7" x14ac:dyDescent="0.25"/>
    <row r="81" spans="2:2" x14ac:dyDescent="0.25">
      <c r="B81" s="2" t="s">
        <v>282</v>
      </c>
    </row>
    <row r="82" spans="2:2" x14ac:dyDescent="0.25"/>
  </sheetData>
  <sheetProtection sheet="1" objects="1" scenarios="1"/>
  <pageMargins left="0.7" right="0.7" top="0.75" bottom="0.75" header="0.3" footer="0.3"/>
  <pageSetup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94F0E701FE9A4E8F4F35A313E577FA" ma:contentTypeVersion="0" ma:contentTypeDescription="Create a new document." ma:contentTypeScope="" ma:versionID="ded7f80f739276c6904e89f9439d6b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77EF48-2EE2-4333-BF4E-26191626ECBD}">
  <ds:schemaRefs>
    <ds:schemaRef ds:uri="http://schemas.microsoft.com/sharepoint/v3/contenttype/forms"/>
  </ds:schemaRefs>
</ds:datastoreItem>
</file>

<file path=customXml/itemProps2.xml><?xml version="1.0" encoding="utf-8"?>
<ds:datastoreItem xmlns:ds="http://schemas.openxmlformats.org/officeDocument/2006/customXml" ds:itemID="{F167093A-FF47-4AF3-92F8-759B7E64C41E}">
  <ds:schemaRefs>
    <ds:schemaRef ds:uri="http://schemas.microsoft.com/office/infopath/2007/PartnerControls"/>
    <ds:schemaRef ds:uri="http://schemas.microsoft.com/office/2006/metadata/propertie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F6634D4-73B7-4D59-B91B-1525CF2FCB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Base Capacity</vt:lpstr>
      <vt:lpstr>Disk Capacity</vt:lpstr>
      <vt:lpstr>Backup Capacity</vt:lpstr>
      <vt:lpstr>EPCS Credentialing Roles</vt:lpstr>
      <vt:lpstr>Cryptographic Tokens</vt:lpstr>
      <vt:lpstr>Workstation Capacity</vt:lpstr>
      <vt:lpstr>Threshold Monitoring</vt:lpstr>
      <vt:lpstr>'Backup Capacity'!Print_Area</vt:lpstr>
      <vt:lpstr>'Base Capacity'!Print_Area</vt:lpstr>
      <vt:lpstr>'Cryptographic Tokens'!Print_Area</vt:lpstr>
      <vt:lpstr>'Disk Capacity'!Print_Area</vt:lpstr>
      <vt:lpstr>'EPCS Credentialing Roles'!Print_Area</vt:lpstr>
      <vt:lpstr>Introduction!Print_Area</vt:lpstr>
      <vt:lpstr>'Threshold Monitoring'!Print_Area</vt:lpstr>
      <vt:lpstr>'Workstation Capacity'!Print_Area</vt:lpstr>
    </vt:vector>
  </TitlesOfParts>
  <Company>IHS/OIT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EPCS Capacity Planning Spreadsheet</dc:title>
  <dc:subject>Planning worksheet for EPCS Installation</dc:subject>
  <dc:creator>Indian Health Service (IHS) Office of Information Technology (OIT)</dc:creator>
  <cp:keywords>EPCS, BEPC, Capacity Planning Spreadsheet, RPMS, IHS</cp:keywords>
  <cp:lastModifiedBy>Moon, Sarah (IHS/HQ) [C]</cp:lastModifiedBy>
  <cp:lastPrinted>2019-03-21T15:26:13Z</cp:lastPrinted>
  <dcterms:created xsi:type="dcterms:W3CDTF">2018-12-14T14:29:00Z</dcterms:created>
  <dcterms:modified xsi:type="dcterms:W3CDTF">2019-08-06T17:34:08Z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0x0101003194F0E701FE9A4E8F4F35A313E577FA</vt:lpwstr>
  </property>
  <property fmtid="{D5CDD505-2E9C-101B-9397-08002B2CF9AE}" pid="3" name="Language">
    <vt:lpwstr>English</vt:lpwstr>
  </property>
</Properties>
</file>